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1'!$A$8:$G$273</definedName>
    <definedName name="_xlnm.Print_Area" localSheetId="0">'вариант 1'!$A$1:$G$273</definedName>
  </definedNames>
  <calcPr calcId="124519"/>
</workbook>
</file>

<file path=xl/calcChain.xml><?xml version="1.0" encoding="utf-8"?>
<calcChain xmlns="http://schemas.openxmlformats.org/spreadsheetml/2006/main">
  <c r="F193" i="1"/>
  <c r="F154"/>
  <c r="F168"/>
  <c r="F123"/>
  <c r="F121"/>
  <c r="F271"/>
  <c r="F220"/>
  <c r="F162" l="1"/>
  <c r="F186"/>
  <c r="F201"/>
  <c r="F200"/>
  <c r="F30"/>
  <c r="F15"/>
  <c r="F219"/>
  <c r="F231"/>
  <c r="F69"/>
  <c r="F229"/>
  <c r="F227"/>
  <c r="G23"/>
  <c r="F23"/>
  <c r="G239"/>
  <c r="F239"/>
  <c r="G247"/>
  <c r="F247"/>
  <c r="F135"/>
  <c r="F55"/>
  <c r="F40"/>
  <c r="G102"/>
  <c r="F102"/>
  <c r="G246"/>
  <c r="F246"/>
  <c r="F31"/>
  <c r="F32"/>
  <c r="F137"/>
  <c r="F112"/>
  <c r="F119"/>
  <c r="F111"/>
  <c r="F79"/>
  <c r="F254"/>
  <c r="F215"/>
  <c r="F243"/>
  <c r="F122"/>
  <c r="F76"/>
  <c r="F57"/>
  <c r="F56"/>
  <c r="F53"/>
  <c r="F24"/>
  <c r="G24"/>
  <c r="F240"/>
  <c r="F43"/>
  <c r="F148"/>
  <c r="F256"/>
  <c r="F49"/>
  <c r="G186"/>
  <c r="F21"/>
  <c r="F222"/>
  <c r="F221"/>
  <c r="F71"/>
  <c r="F37"/>
  <c r="G151"/>
  <c r="G150" s="1"/>
  <c r="F151"/>
  <c r="F143"/>
  <c r="G240"/>
  <c r="F132"/>
  <c r="F54"/>
  <c r="F12"/>
  <c r="F89"/>
  <c r="F125"/>
  <c r="F214"/>
  <c r="F17"/>
  <c r="F149"/>
  <c r="F99"/>
  <c r="F160"/>
  <c r="F188"/>
  <c r="F165"/>
  <c r="F156"/>
  <c r="F85"/>
  <c r="F107"/>
  <c r="F97"/>
  <c r="G234"/>
  <c r="F234"/>
  <c r="F258"/>
  <c r="F114"/>
  <c r="F105"/>
  <c r="G111" l="1"/>
  <c r="G110" s="1"/>
  <c r="G118"/>
  <c r="F209"/>
  <c r="F46"/>
  <c r="F75"/>
  <c r="F74" s="1"/>
  <c r="F73" s="1"/>
  <c r="G136"/>
  <c r="G133" s="1"/>
  <c r="G129" s="1"/>
  <c r="G88"/>
  <c r="G85"/>
  <c r="F223"/>
  <c r="F87"/>
  <c r="F158"/>
  <c r="F146"/>
  <c r="F118"/>
  <c r="F104"/>
  <c r="F103" s="1"/>
  <c r="G125"/>
  <c r="G124" s="1"/>
  <c r="F61"/>
  <c r="F101"/>
  <c r="F115"/>
  <c r="G100"/>
  <c r="G193"/>
  <c r="G191"/>
  <c r="F191"/>
  <c r="F150"/>
  <c r="G144"/>
  <c r="F144"/>
  <c r="F167"/>
  <c r="F147"/>
  <c r="F230"/>
  <c r="F259"/>
  <c r="F257"/>
  <c r="F44"/>
  <c r="G78"/>
  <c r="G77" s="1"/>
  <c r="G114"/>
  <c r="G200"/>
  <c r="G26"/>
  <c r="G25" s="1"/>
  <c r="F26"/>
  <c r="F25" s="1"/>
  <c r="G232"/>
  <c r="F232"/>
  <c r="G237"/>
  <c r="F237"/>
  <c r="F93"/>
  <c r="F68"/>
  <c r="F211"/>
  <c r="F266"/>
  <c r="F250"/>
  <c r="F255" l="1"/>
  <c r="F100"/>
  <c r="F204"/>
  <c r="F202"/>
  <c r="F174"/>
  <c r="F171"/>
  <c r="F169"/>
  <c r="F161"/>
  <c r="F96"/>
  <c r="F88"/>
  <c r="G84"/>
  <c r="G81" s="1"/>
  <c r="F70"/>
  <c r="F36"/>
  <c r="F35" s="1"/>
  <c r="F252"/>
  <c r="F178"/>
  <c r="F153"/>
  <c r="F224" l="1"/>
  <c r="F124"/>
  <c r="G224"/>
  <c r="G72"/>
  <c r="G95"/>
  <c r="G199" l="1"/>
  <c r="G195" s="1"/>
  <c r="F199"/>
  <c r="F218"/>
  <c r="F22"/>
  <c r="G22" l="1"/>
  <c r="G19" s="1"/>
  <c r="F140"/>
  <c r="G194"/>
  <c r="F52"/>
  <c r="F242"/>
  <c r="G139"/>
  <c r="F82" l="1"/>
  <c r="F84" l="1"/>
  <c r="G192"/>
  <c r="G190" s="1"/>
  <c r="G189" s="1"/>
  <c r="F304" l="1"/>
  <c r="G304"/>
  <c r="F166"/>
  <c r="F323"/>
  <c r="G323"/>
  <c r="G236"/>
  <c r="G67"/>
  <c r="G113"/>
  <c r="G109" s="1"/>
  <c r="G185"/>
  <c r="G173" s="1"/>
  <c r="G66" l="1"/>
  <c r="G62" s="1"/>
  <c r="F42"/>
  <c r="F327"/>
  <c r="F11"/>
  <c r="F10" s="1"/>
  <c r="F324"/>
  <c r="G345"/>
  <c r="F345"/>
  <c r="G344"/>
  <c r="F344"/>
  <c r="G343"/>
  <c r="F343"/>
  <c r="G342"/>
  <c r="G341"/>
  <c r="F341"/>
  <c r="G340"/>
  <c r="F340"/>
  <c r="G339"/>
  <c r="F339"/>
  <c r="G338"/>
  <c r="F338"/>
  <c r="G337"/>
  <c r="F337"/>
  <c r="G336"/>
  <c r="F336"/>
  <c r="G335"/>
  <c r="F335"/>
  <c r="G334"/>
  <c r="F334"/>
  <c r="G333"/>
  <c r="F333"/>
  <c r="G332"/>
  <c r="F332"/>
  <c r="G331"/>
  <c r="F331"/>
  <c r="G330"/>
  <c r="F330"/>
  <c r="G329"/>
  <c r="F329"/>
  <c r="G328"/>
  <c r="F328"/>
  <c r="G327"/>
  <c r="G326"/>
  <c r="F326"/>
  <c r="G325"/>
  <c r="F325"/>
  <c r="G324"/>
  <c r="G322"/>
  <c r="F322"/>
  <c r="G321"/>
  <c r="F321"/>
  <c r="G320"/>
  <c r="G319"/>
  <c r="F319"/>
  <c r="G318"/>
  <c r="F318"/>
  <c r="G138" l="1"/>
  <c r="G245"/>
  <c r="G241" s="1"/>
  <c r="G346"/>
  <c r="G347" s="1"/>
  <c r="F346"/>
  <c r="F245"/>
  <c r="F241" s="1"/>
  <c r="G126"/>
  <c r="G117" s="1"/>
  <c r="F126"/>
  <c r="G238"/>
  <c r="F238"/>
  <c r="G217" l="1"/>
  <c r="G235"/>
  <c r="G94"/>
  <c r="G9"/>
  <c r="G216" l="1"/>
  <c r="F294"/>
  <c r="G294"/>
  <c r="F342"/>
  <c r="F264"/>
  <c r="F228"/>
  <c r="F226"/>
  <c r="F134"/>
  <c r="F131"/>
  <c r="F130" s="1"/>
  <c r="F136"/>
  <c r="F176"/>
  <c r="F263" l="1"/>
  <c r="F262" s="1"/>
  <c r="F217"/>
  <c r="F133"/>
  <c r="F320"/>
  <c r="F347" s="1"/>
  <c r="F236" l="1"/>
  <c r="F235" l="1"/>
  <c r="F120"/>
  <c r="F117" s="1"/>
  <c r="F110"/>
  <c r="F113"/>
  <c r="F67"/>
  <c r="F66" s="1"/>
  <c r="F155"/>
  <c r="F260"/>
  <c r="F249" s="1"/>
  <c r="F185"/>
  <c r="F145"/>
  <c r="F142"/>
  <c r="F16"/>
  <c r="F14"/>
  <c r="F13" l="1"/>
  <c r="F139"/>
  <c r="F109"/>
  <c r="F50"/>
  <c r="F78" l="1"/>
  <c r="F77" s="1"/>
  <c r="F216"/>
  <c r="F98" l="1"/>
  <c r="F95" s="1"/>
  <c r="F94" l="1"/>
  <c r="F208" l="1"/>
  <c r="F29"/>
  <c r="F28" s="1"/>
  <c r="F20"/>
  <c r="F19" s="1"/>
  <c r="F288"/>
  <c r="F310"/>
  <c r="F192"/>
  <c r="F190" s="1"/>
  <c r="F189" s="1"/>
  <c r="F196"/>
  <c r="F195" s="1"/>
  <c r="G314"/>
  <c r="F314"/>
  <c r="G313"/>
  <c r="F313"/>
  <c r="G312"/>
  <c r="F312"/>
  <c r="G311"/>
  <c r="G310"/>
  <c r="G309"/>
  <c r="G308"/>
  <c r="F308"/>
  <c r="G306"/>
  <c r="G305"/>
  <c r="G303"/>
  <c r="F303"/>
  <c r="G302"/>
  <c r="F302"/>
  <c r="G300"/>
  <c r="G299"/>
  <c r="G307"/>
  <c r="F164"/>
  <c r="F163" s="1"/>
  <c r="G301"/>
  <c r="F299"/>
  <c r="F183"/>
  <c r="F210"/>
  <c r="F157"/>
  <c r="F92"/>
  <c r="F45"/>
  <c r="F306"/>
  <c r="F305"/>
  <c r="F300"/>
  <c r="G295"/>
  <c r="G293"/>
  <c r="G291"/>
  <c r="G289"/>
  <c r="G288"/>
  <c r="G287"/>
  <c r="G286"/>
  <c r="G285"/>
  <c r="G284"/>
  <c r="F295"/>
  <c r="F286"/>
  <c r="F285"/>
  <c r="F289"/>
  <c r="F291"/>
  <c r="F181"/>
  <c r="F292"/>
  <c r="F284"/>
  <c r="F293"/>
  <c r="G292"/>
  <c r="F213"/>
  <c r="F159"/>
  <c r="F60"/>
  <c r="F59" s="1"/>
  <c r="F48"/>
  <c r="F41" s="1"/>
  <c r="F39"/>
  <c r="F38" s="1"/>
  <c r="F86"/>
  <c r="F64"/>
  <c r="F63" s="1"/>
  <c r="F270"/>
  <c r="F129"/>
  <c r="F81" l="1"/>
  <c r="F72" s="1"/>
  <c r="F207"/>
  <c r="F152"/>
  <c r="F269"/>
  <c r="F268" s="1"/>
  <c r="F62"/>
  <c r="F248"/>
  <c r="F58"/>
  <c r="F290"/>
  <c r="G279"/>
  <c r="F311"/>
  <c r="F187"/>
  <c r="F173" s="1"/>
  <c r="F287"/>
  <c r="F279"/>
  <c r="G290"/>
  <c r="G296" s="1"/>
  <c r="F309"/>
  <c r="F307"/>
  <c r="F301"/>
  <c r="G315"/>
  <c r="F9" l="1"/>
  <c r="F138"/>
  <c r="F277"/>
  <c r="F194"/>
  <c r="G276"/>
  <c r="F296"/>
  <c r="F315"/>
  <c r="G277"/>
  <c r="G278"/>
  <c r="F276" l="1"/>
  <c r="G272" l="1"/>
  <c r="F278"/>
  <c r="F272"/>
</calcChain>
</file>

<file path=xl/sharedStrings.xml><?xml version="1.0" encoding="utf-8"?>
<sst xmlns="http://schemas.openxmlformats.org/spreadsheetml/2006/main" count="1208" uniqueCount="176">
  <si>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</si>
  <si>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</si>
  <si>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</si>
  <si>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</si>
  <si>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</si>
  <si>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</si>
  <si>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</si>
  <si>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</si>
  <si>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</si>
  <si>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</si>
  <si>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</si>
  <si>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</si>
  <si>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</si>
  <si>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</si>
  <si>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</si>
  <si>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</si>
  <si>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</si>
  <si>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</si>
  <si>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</si>
  <si>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</si>
  <si>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</si>
  <si>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</si>
  <si>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</si>
  <si>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</si>
  <si>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</si>
  <si>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</si>
  <si>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</si>
  <si>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</si>
  <si>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</si>
  <si>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</si>
  <si>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</si>
  <si>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</si>
  <si>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</si>
  <si>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</si>
  <si>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</si>
  <si>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</si>
  <si>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</si>
  <si>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</si>
  <si>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</si>
  <si>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</si>
  <si>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</si>
  <si>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</si>
  <si>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</si>
  <si>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</si>
  <si>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</si>
  <si>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</si>
  <si>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</si>
  <si>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</si>
  <si>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</si>
  <si>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</si>
  <si>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</si>
  <si>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</si>
  <si>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</si>
  <si>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</si>
  <si>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</si>
  <si>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</si>
  <si>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</si>
  <si>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</si>
  <si>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</si>
  <si>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</si>
  <si>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</si>
  <si>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</si>
  <si>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</si>
  <si>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</si>
  <si>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</si>
  <si>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</si>
  <si>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</si>
  <si>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</si>
  <si>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</si>
  <si>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</si>
  <si>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</si>
  <si>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</si>
  <si>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</si>
  <si>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</si>
  <si>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</si>
  <si>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</si>
  <si>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</si>
  <si>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</si>
  <si>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</si>
  <si>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</si>
  <si>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</si>
  <si>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</si>
  <si>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</si>
  <si>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</si>
  <si>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</si>
  <si>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</si>
  <si>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</si>
  <si>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</si>
  <si>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</si>
  <si>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</si>
  <si>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</si>
  <si>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</si>
  <si>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</si>
  <si>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</si>
  <si>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</si>
  <si>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</si>
  <si>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</si>
  <si>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</si>
  <si>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</si>
  <si>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</si>
  <si>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</si>
  <si>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</si>
  <si>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</si>
  <si>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</si>
  <si>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</si>
  <si>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</si>
  <si>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</si>
  <si>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</si>
  <si>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</si>
  <si>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</si>
  <si>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</si>
  <si>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</si>
  <si>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</si>
  <si>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</si>
  <si>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</si>
  <si>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</si>
  <si>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</si>
  <si>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</si>
  <si>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</si>
  <si>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Дополнительное образование детей</t>
  </si>
  <si>
    <t>ПО ВИДАМ РАСХОДОВ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</si>
  <si>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</si>
  <si>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</si>
  <si>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</si>
  <si>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</si>
  <si>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</si>
  <si>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</si>
  <si>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</si>
  <si>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</si>
  <si>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</si>
  <si>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</si>
  <si>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</si>
  <si>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</si>
  <si>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Сбор, удаление отходов и очистка сточных вод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</si>
  <si>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</si>
  <si>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</si>
  <si>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</si>
  <si>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</si>
  <si>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</si>
  <si>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</si>
  <si>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</si>
  <si>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ПО ЦЕЛЕВЫМ СТАТЬЯМ</t>
  </si>
  <si>
    <t>04 0 00 00000</t>
  </si>
  <si>
    <t>06 0 00 00000</t>
  </si>
  <si>
    <t>330</t>
  </si>
  <si>
    <t>Публичные нормативные выплаты гражданам несоциального характера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</si>
  <si>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</si>
  <si>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</si>
  <si>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</si>
  <si>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</si>
  <si>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</si>
  <si>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</si>
  <si>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</si>
  <si>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</si>
  <si>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</si>
  <si>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</si>
  <si>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</si>
  <si>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</si>
  <si>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</si>
  <si>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</si>
  <si>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</si>
  <si>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</si>
  <si>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</si>
  <si>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</si>
  <si>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</si>
  <si>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Обеспечение проведения выборов и референдумов</t>
  </si>
  <si>
    <t>Судебная система</t>
  </si>
  <si>
    <t>к решению Думы
городского округа Кинель Самарской области
№ 231 от  15.12.2022г.</t>
  </si>
  <si>
    <t>"ПРИЛОЖЕНИЕ 4</t>
  </si>
  <si>
    <t>"</t>
  </si>
  <si>
    <t>Исполнение судебных актов</t>
  </si>
  <si>
    <t>в том числе за счет целевых поступлений вышестоящих бюджетов</t>
  </si>
  <si>
    <t>ПРИЛОЖЕНИЕ 3</t>
  </si>
  <si>
    <t>Муниципальная программа городского округа Кинель Самарской области "Молодой семье – доступное жилье" на 2018-2025 годы.</t>
  </si>
  <si>
    <t>Муниципальная программа "Формирование современной городской среды в городском округе Кинель Самарской области на 2018-2025 годы"</t>
  </si>
  <si>
    <t xml:space="preserve">к решению Думы
городского округа Кинель Самарской области
№ 298 от 30.11.2023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</si>
</sst>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6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5" fillId="3" borderId="2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6" fillId="6" borderId="1" xfId="0" applyNumberFormat="1" applyFont="1" applyFill="1" applyBorder="1" applyAlignment="1">
      <alignment horizontal="left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Fill="1" applyBorder="1" applyAlignment="1">
      <alignment horizontal="center" vertical="top" wrapText="1"/>
    </xf>
    <xf numFmtId="3" fontId="5" fillId="6" borderId="29" xfId="0" applyNumberFormat="1" applyFont="1" applyFill="1" applyBorder="1" applyAlignment="1">
      <alignment horizontal="right" vertical="top"/>
    </xf>
    <xf numFmtId="3" fontId="3" fillId="4" borderId="45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7"/>
  <sheetViews>
    <sheetView tabSelected="1" view="pageBreakPreview" zoomScale="75" zoomScaleSheetLayoutView="75" workbookViewId="0">
      <selection activeCell="E3" sqref="E3:G3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7.25" style="9" customWidth="1"/>
    <col min="8" max="16384" width="9" style="1"/>
  </cols>
  <sheetData>
    <row r="1" spans="1:7">
      <c r="E1" s="142" t="s">
        <v>172</v>
      </c>
      <c r="F1" s="142"/>
      <c r="G1" s="142"/>
    </row>
    <row r="2" spans="1:7" ht="83.25" customHeight="1">
      <c r="E2" s="142" t="s">
        <v>175</v>
      </c>
      <c r="F2" s="142"/>
      <c r="G2" s="142"/>
    </row>
    <row r="3" spans="1:7" ht="21" customHeight="1">
      <c r="E3" s="142" t="s">
        <v>168</v>
      </c>
      <c r="F3" s="142"/>
      <c r="G3" s="142"/>
    </row>
    <row r="4" spans="1:7" ht="75" customHeight="1">
      <c r="E4" s="142" t="s">
        <v>167</v>
      </c>
      <c r="F4" s="142"/>
      <c r="G4" s="142"/>
    </row>
    <row r="5" spans="1:7" s="13" customFormat="1" ht="82.5" customHeight="1">
      <c r="A5" s="144" t="s">
        <v>153</v>
      </c>
      <c r="B5" s="144"/>
      <c r="C5" s="144"/>
      <c r="D5" s="144"/>
      <c r="E5" s="144"/>
      <c r="F5" s="144"/>
      <c r="G5" s="144"/>
    </row>
    <row r="6" spans="1:7">
      <c r="F6" s="8"/>
      <c r="G6" s="8"/>
    </row>
    <row r="7" spans="1:7" s="3" customFormat="1" ht="18.75" customHeight="1">
      <c r="A7" s="143" t="s">
        <v>95</v>
      </c>
      <c r="B7" s="143" t="s">
        <v>0</v>
      </c>
      <c r="C7" s="143" t="s">
        <v>1</v>
      </c>
      <c r="D7" s="143" t="s">
        <v>2</v>
      </c>
      <c r="E7" s="143" t="s">
        <v>3</v>
      </c>
      <c r="F7" s="145" t="s">
        <v>4</v>
      </c>
      <c r="G7" s="145"/>
    </row>
    <row r="8" spans="1:7" s="3" customFormat="1" ht="115.9" customHeight="1">
      <c r="A8" s="143"/>
      <c r="B8" s="143"/>
      <c r="C8" s="143"/>
      <c r="D8" s="143"/>
      <c r="E8" s="143"/>
      <c r="F8" s="15" t="s">
        <v>88</v>
      </c>
      <c r="G8" s="15" t="s">
        <v>171</v>
      </c>
    </row>
    <row r="9" spans="1:7" s="5" customFormat="1">
      <c r="A9" s="74" t="s">
        <v>6</v>
      </c>
      <c r="B9" s="75" t="s">
        <v>7</v>
      </c>
      <c r="C9" s="76"/>
      <c r="D9" s="76"/>
      <c r="E9" s="77"/>
      <c r="F9" s="78">
        <f>SUBTOTAL(9,F10:F57)</f>
        <v>191403</v>
      </c>
      <c r="G9" s="78">
        <f>SUBTOTAL(9,G10:G57)</f>
        <v>3495</v>
      </c>
    </row>
    <row r="10" spans="1:7" s="5" customFormat="1" ht="75">
      <c r="A10" s="84" t="s">
        <v>115</v>
      </c>
      <c r="B10" s="83" t="s">
        <v>7</v>
      </c>
      <c r="C10" s="81" t="s">
        <v>8</v>
      </c>
      <c r="D10" s="6"/>
      <c r="E10" s="82"/>
      <c r="F10" s="60">
        <f>SUBTOTAL(9,F11:F12)</f>
        <v>3967</v>
      </c>
      <c r="G10" s="60"/>
    </row>
    <row r="11" spans="1:7" s="5" customFormat="1" ht="37.5">
      <c r="A11" s="85" t="s">
        <v>94</v>
      </c>
      <c r="B11" s="83" t="s">
        <v>7</v>
      </c>
      <c r="C11" s="81" t="s">
        <v>8</v>
      </c>
      <c r="D11" s="80" t="s">
        <v>96</v>
      </c>
      <c r="E11" s="82"/>
      <c r="F11" s="60">
        <f>SUBTOTAL(9,F12:F12)</f>
        <v>3967</v>
      </c>
      <c r="G11" s="60"/>
    </row>
    <row r="12" spans="1:7" s="5" customFormat="1" ht="56.25">
      <c r="A12" s="85" t="s">
        <v>72</v>
      </c>
      <c r="B12" s="83" t="s">
        <v>7</v>
      </c>
      <c r="C12" s="81" t="s">
        <v>8</v>
      </c>
      <c r="D12" s="80" t="s">
        <v>96</v>
      </c>
      <c r="E12" s="82" t="s">
        <v>69</v>
      </c>
      <c r="F12" s="61">
        <f>3707+260</f>
        <v>3967</v>
      </c>
      <c r="G12" s="45"/>
    </row>
    <row r="13" spans="1:7" s="5" customFormat="1" ht="93.75">
      <c r="A13" s="65" t="s">
        <v>5</v>
      </c>
      <c r="B13" s="66" t="s">
        <v>7</v>
      </c>
      <c r="C13" s="46" t="s">
        <v>9</v>
      </c>
      <c r="D13" s="67"/>
      <c r="E13" s="68"/>
      <c r="F13" s="69">
        <f>SUBTOTAL(9,F14:F18)</f>
        <v>7024</v>
      </c>
      <c r="G13" s="69"/>
    </row>
    <row r="14" spans="1:7" s="5" customFormat="1" ht="75">
      <c r="A14" s="113" t="s">
        <v>140</v>
      </c>
      <c r="B14" s="83" t="s">
        <v>7</v>
      </c>
      <c r="C14" s="81" t="s">
        <v>9</v>
      </c>
      <c r="D14" s="80" t="s">
        <v>99</v>
      </c>
      <c r="E14" s="82"/>
      <c r="F14" s="60">
        <f>SUBTOTAL(9,F15)</f>
        <v>23</v>
      </c>
      <c r="G14" s="57"/>
    </row>
    <row r="15" spans="1:7" s="5" customFormat="1" ht="56.25">
      <c r="A15" s="85" t="s">
        <v>73</v>
      </c>
      <c r="B15" s="6" t="s">
        <v>7</v>
      </c>
      <c r="C15" s="98" t="s">
        <v>9</v>
      </c>
      <c r="D15" s="80" t="s">
        <v>99</v>
      </c>
      <c r="E15" s="49" t="s">
        <v>70</v>
      </c>
      <c r="F15" s="61">
        <f>23-5+5</f>
        <v>23</v>
      </c>
      <c r="G15" s="45"/>
    </row>
    <row r="16" spans="1:7" s="5" customFormat="1" ht="37.5">
      <c r="A16" s="44" t="s">
        <v>94</v>
      </c>
      <c r="B16" s="47" t="s">
        <v>7</v>
      </c>
      <c r="C16" s="6" t="s">
        <v>9</v>
      </c>
      <c r="D16" s="80" t="s">
        <v>96</v>
      </c>
      <c r="E16" s="49"/>
      <c r="F16" s="60">
        <f>SUBTOTAL(9,F17:F18)</f>
        <v>7001</v>
      </c>
      <c r="G16" s="60"/>
    </row>
    <row r="17" spans="1:7" s="5" customFormat="1" ht="56.25">
      <c r="A17" s="44" t="s">
        <v>72</v>
      </c>
      <c r="B17" s="47" t="s">
        <v>7</v>
      </c>
      <c r="C17" s="6" t="s">
        <v>9</v>
      </c>
      <c r="D17" s="80" t="s">
        <v>96</v>
      </c>
      <c r="E17" s="49" t="s">
        <v>69</v>
      </c>
      <c r="F17" s="61">
        <f>6223+103</f>
        <v>6326</v>
      </c>
      <c r="G17" s="45"/>
    </row>
    <row r="18" spans="1:7" s="5" customFormat="1" ht="56.25">
      <c r="A18" s="44" t="s">
        <v>73</v>
      </c>
      <c r="B18" s="47" t="s">
        <v>7</v>
      </c>
      <c r="C18" s="6" t="s">
        <v>9</v>
      </c>
      <c r="D18" s="80" t="s">
        <v>96</v>
      </c>
      <c r="E18" s="49" t="s">
        <v>70</v>
      </c>
      <c r="F18" s="61">
        <v>675</v>
      </c>
      <c r="G18" s="45"/>
    </row>
    <row r="19" spans="1:7" s="5" customFormat="1" ht="112.5">
      <c r="A19" s="44" t="s">
        <v>47</v>
      </c>
      <c r="B19" s="47" t="s">
        <v>7</v>
      </c>
      <c r="C19" s="6" t="s">
        <v>12</v>
      </c>
      <c r="D19" s="6"/>
      <c r="E19" s="49"/>
      <c r="F19" s="60">
        <f>SUBTOTAL(9,F20:F24)</f>
        <v>58271</v>
      </c>
      <c r="G19" s="60">
        <f>SUBTOTAL(9,G20:G24)</f>
        <v>3490</v>
      </c>
    </row>
    <row r="20" spans="1:7" s="5" customFormat="1" ht="75">
      <c r="A20" s="113" t="s">
        <v>140</v>
      </c>
      <c r="B20" s="83" t="s">
        <v>7</v>
      </c>
      <c r="C20" s="81" t="s">
        <v>12</v>
      </c>
      <c r="D20" s="80" t="s">
        <v>99</v>
      </c>
      <c r="E20" s="82"/>
      <c r="F20" s="60">
        <f>SUBTOTAL(9,F21)</f>
        <v>369</v>
      </c>
      <c r="G20" s="60"/>
    </row>
    <row r="21" spans="1:7" s="5" customFormat="1" ht="56.25">
      <c r="A21" s="101" t="s">
        <v>73</v>
      </c>
      <c r="B21" s="83" t="s">
        <v>7</v>
      </c>
      <c r="C21" s="81" t="s">
        <v>12</v>
      </c>
      <c r="D21" s="80" t="s">
        <v>99</v>
      </c>
      <c r="E21" s="82" t="s">
        <v>70</v>
      </c>
      <c r="F21" s="61">
        <f>340+11+22-4</f>
        <v>369</v>
      </c>
      <c r="G21" s="45"/>
    </row>
    <row r="22" spans="1:7" s="5" customFormat="1" ht="37.5">
      <c r="A22" s="44" t="s">
        <v>94</v>
      </c>
      <c r="B22" s="47" t="s">
        <v>7</v>
      </c>
      <c r="C22" s="6" t="s">
        <v>12</v>
      </c>
      <c r="D22" s="80" t="s">
        <v>96</v>
      </c>
      <c r="E22" s="49"/>
      <c r="F22" s="60">
        <f>SUBTOTAL(9,F23:F24)</f>
        <v>57902</v>
      </c>
      <c r="G22" s="60">
        <f>SUBTOTAL(9,G23:G24)</f>
        <v>3490</v>
      </c>
    </row>
    <row r="23" spans="1:7" s="5" customFormat="1" ht="56.25">
      <c r="A23" s="44" t="s">
        <v>72</v>
      </c>
      <c r="B23" s="47" t="s">
        <v>7</v>
      </c>
      <c r="C23" s="6" t="s">
        <v>12</v>
      </c>
      <c r="D23" s="80" t="s">
        <v>96</v>
      </c>
      <c r="E23" s="49" t="s">
        <v>69</v>
      </c>
      <c r="F23" s="61">
        <f>54571+400+68+1319+4+11+18</f>
        <v>56391</v>
      </c>
      <c r="G23" s="61">
        <f>3212+68+4+11+18</f>
        <v>3313</v>
      </c>
    </row>
    <row r="24" spans="1:7" s="5" customFormat="1" ht="56.25">
      <c r="A24" s="44" t="s">
        <v>73</v>
      </c>
      <c r="B24" s="47" t="s">
        <v>7</v>
      </c>
      <c r="C24" s="6" t="s">
        <v>12</v>
      </c>
      <c r="D24" s="80" t="s">
        <v>96</v>
      </c>
      <c r="E24" s="49" t="s">
        <v>70</v>
      </c>
      <c r="F24" s="61">
        <f>1915-400-4</f>
        <v>1511</v>
      </c>
      <c r="G24" s="61">
        <f>181-4</f>
        <v>177</v>
      </c>
    </row>
    <row r="25" spans="1:7" s="5" customFormat="1">
      <c r="A25" s="44" t="s">
        <v>166</v>
      </c>
      <c r="B25" s="50" t="s">
        <v>7</v>
      </c>
      <c r="C25" s="36" t="s">
        <v>28</v>
      </c>
      <c r="D25" s="80"/>
      <c r="E25" s="51"/>
      <c r="F25" s="60">
        <f>SUBTOTAL(9,F26:F27)</f>
        <v>5</v>
      </c>
      <c r="G25" s="60">
        <f>SUBTOTAL(9,G26:G27)</f>
        <v>5</v>
      </c>
    </row>
    <row r="26" spans="1:7" s="5" customFormat="1" ht="37.5">
      <c r="A26" s="44" t="s">
        <v>94</v>
      </c>
      <c r="B26" s="50" t="s">
        <v>7</v>
      </c>
      <c r="C26" s="36" t="s">
        <v>28</v>
      </c>
      <c r="D26" s="80" t="s">
        <v>96</v>
      </c>
      <c r="E26" s="51"/>
      <c r="F26" s="60">
        <f>SUBTOTAL(9,F27)</f>
        <v>5</v>
      </c>
      <c r="G26" s="60">
        <f>SUBTOTAL(9,G27)</f>
        <v>5</v>
      </c>
    </row>
    <row r="27" spans="1:7" s="5" customFormat="1" ht="56.25">
      <c r="A27" s="44" t="s">
        <v>73</v>
      </c>
      <c r="B27" s="50" t="s">
        <v>7</v>
      </c>
      <c r="C27" s="36" t="s">
        <v>28</v>
      </c>
      <c r="D27" s="80" t="s">
        <v>96</v>
      </c>
      <c r="E27" s="51" t="s">
        <v>70</v>
      </c>
      <c r="F27" s="61">
        <v>5</v>
      </c>
      <c r="G27" s="45">
        <v>5</v>
      </c>
    </row>
    <row r="28" spans="1:7" s="5" customFormat="1" ht="75">
      <c r="A28" s="44" t="s">
        <v>49</v>
      </c>
      <c r="B28" s="47" t="s">
        <v>7</v>
      </c>
      <c r="C28" s="6" t="s">
        <v>31</v>
      </c>
      <c r="D28" s="6"/>
      <c r="E28" s="49"/>
      <c r="F28" s="60">
        <f>SUBTOTAL(9,F29:F34)</f>
        <v>13547</v>
      </c>
      <c r="G28" s="60"/>
    </row>
    <row r="29" spans="1:7" s="5" customFormat="1" ht="75">
      <c r="A29" s="113" t="s">
        <v>140</v>
      </c>
      <c r="B29" s="83" t="s">
        <v>7</v>
      </c>
      <c r="C29" s="81" t="s">
        <v>31</v>
      </c>
      <c r="D29" s="80" t="s">
        <v>99</v>
      </c>
      <c r="E29" s="82"/>
      <c r="F29" s="60">
        <f>SUBTOTAL(9,F30)</f>
        <v>77</v>
      </c>
      <c r="G29" s="60"/>
    </row>
    <row r="30" spans="1:7" s="5" customFormat="1" ht="56.25">
      <c r="A30" s="101" t="s">
        <v>73</v>
      </c>
      <c r="B30" s="83" t="s">
        <v>7</v>
      </c>
      <c r="C30" s="81" t="s">
        <v>31</v>
      </c>
      <c r="D30" s="80" t="s">
        <v>99</v>
      </c>
      <c r="E30" s="82" t="s">
        <v>70</v>
      </c>
      <c r="F30" s="61">
        <f>72+5+5-5</f>
        <v>77</v>
      </c>
      <c r="G30" s="45"/>
    </row>
    <row r="31" spans="1:7" s="5" customFormat="1" ht="37.5">
      <c r="A31" s="44" t="s">
        <v>94</v>
      </c>
      <c r="B31" s="47" t="s">
        <v>7</v>
      </c>
      <c r="C31" s="6" t="s">
        <v>31</v>
      </c>
      <c r="D31" s="80" t="s">
        <v>96</v>
      </c>
      <c r="E31" s="49"/>
      <c r="F31" s="60">
        <f>SUBTOTAL(9,F32:F34)</f>
        <v>13470</v>
      </c>
      <c r="G31" s="60"/>
    </row>
    <row r="32" spans="1:7" s="5" customFormat="1" ht="56.25">
      <c r="A32" s="44" t="s">
        <v>72</v>
      </c>
      <c r="B32" s="50" t="s">
        <v>65</v>
      </c>
      <c r="C32" s="36" t="s">
        <v>66</v>
      </c>
      <c r="D32" s="80" t="s">
        <v>96</v>
      </c>
      <c r="E32" s="51" t="s">
        <v>69</v>
      </c>
      <c r="F32" s="61">
        <f>12164+63+208-3</f>
        <v>12432</v>
      </c>
      <c r="G32" s="45"/>
    </row>
    <row r="33" spans="1:7" s="5" customFormat="1" ht="56.25">
      <c r="A33" s="44" t="s">
        <v>73</v>
      </c>
      <c r="B33" s="50" t="s">
        <v>65</v>
      </c>
      <c r="C33" s="36" t="s">
        <v>66</v>
      </c>
      <c r="D33" s="80" t="s">
        <v>96</v>
      </c>
      <c r="E33" s="51" t="s">
        <v>70</v>
      </c>
      <c r="F33" s="61">
        <v>1035</v>
      </c>
      <c r="G33" s="45"/>
    </row>
    <row r="34" spans="1:7" s="5" customFormat="1" ht="56.25">
      <c r="A34" s="44" t="s">
        <v>92</v>
      </c>
      <c r="B34" s="50" t="s">
        <v>65</v>
      </c>
      <c r="C34" s="36" t="s">
        <v>66</v>
      </c>
      <c r="D34" s="80" t="s">
        <v>96</v>
      </c>
      <c r="E34" s="51" t="s">
        <v>93</v>
      </c>
      <c r="F34" s="61">
        <v>3</v>
      </c>
      <c r="G34" s="45"/>
    </row>
    <row r="35" spans="1:7" s="5" customFormat="1" ht="37.5" hidden="1">
      <c r="A35" s="44" t="s">
        <v>165</v>
      </c>
      <c r="B35" s="50" t="s">
        <v>7</v>
      </c>
      <c r="C35" s="36" t="s">
        <v>17</v>
      </c>
      <c r="D35" s="80"/>
      <c r="E35" s="51"/>
      <c r="F35" s="60">
        <f>SUBTOTAL(9,F36:F37)</f>
        <v>0</v>
      </c>
      <c r="G35" s="58"/>
    </row>
    <row r="36" spans="1:7" s="5" customFormat="1" ht="37.5" hidden="1">
      <c r="A36" s="44" t="s">
        <v>94</v>
      </c>
      <c r="B36" s="50" t="s">
        <v>7</v>
      </c>
      <c r="C36" s="36" t="s">
        <v>17</v>
      </c>
      <c r="D36" s="80" t="s">
        <v>96</v>
      </c>
      <c r="E36" s="51"/>
      <c r="F36" s="60">
        <f>SUBTOTAL(9,F37)</f>
        <v>0</v>
      </c>
      <c r="G36" s="60"/>
    </row>
    <row r="37" spans="1:7" s="5" customFormat="1" ht="56.25" hidden="1">
      <c r="A37" s="44" t="s">
        <v>73</v>
      </c>
      <c r="B37" s="50" t="s">
        <v>7</v>
      </c>
      <c r="C37" s="36" t="s">
        <v>17</v>
      </c>
      <c r="D37" s="80" t="s">
        <v>96</v>
      </c>
      <c r="E37" s="51" t="s">
        <v>70</v>
      </c>
      <c r="F37" s="61">
        <f>500-500</f>
        <v>0</v>
      </c>
      <c r="G37" s="45"/>
    </row>
    <row r="38" spans="1:7" s="5" customFormat="1">
      <c r="A38" s="48" t="s">
        <v>44</v>
      </c>
      <c r="B38" s="47" t="s">
        <v>7</v>
      </c>
      <c r="C38" s="6" t="s">
        <v>18</v>
      </c>
      <c r="D38" s="6"/>
      <c r="E38" s="49"/>
      <c r="F38" s="60">
        <f>SUBTOTAL(9,F39:F40)</f>
        <v>2319</v>
      </c>
      <c r="G38" s="57"/>
    </row>
    <row r="39" spans="1:7" s="5" customFormat="1" ht="37.5">
      <c r="A39" s="44" t="s">
        <v>94</v>
      </c>
      <c r="B39" s="47" t="s">
        <v>7</v>
      </c>
      <c r="C39" s="6" t="s">
        <v>18</v>
      </c>
      <c r="D39" s="80" t="s">
        <v>96</v>
      </c>
      <c r="E39" s="49"/>
      <c r="F39" s="60">
        <f>SUBTOTAL(9,F40)</f>
        <v>2319</v>
      </c>
      <c r="G39" s="57"/>
    </row>
    <row r="40" spans="1:7" s="5" customFormat="1">
      <c r="A40" s="44" t="s">
        <v>67</v>
      </c>
      <c r="B40" s="50" t="s">
        <v>7</v>
      </c>
      <c r="C40" s="36" t="s">
        <v>18</v>
      </c>
      <c r="D40" s="80" t="s">
        <v>96</v>
      </c>
      <c r="E40" s="51" t="s">
        <v>68</v>
      </c>
      <c r="F40" s="61">
        <f>3000-167-78-239-60-81-16-40</f>
        <v>2319</v>
      </c>
      <c r="G40" s="45"/>
    </row>
    <row r="41" spans="1:7" s="7" customFormat="1">
      <c r="A41" s="44" t="s">
        <v>11</v>
      </c>
      <c r="B41" s="47" t="s">
        <v>7</v>
      </c>
      <c r="C41" s="6" t="s">
        <v>59</v>
      </c>
      <c r="D41" s="6"/>
      <c r="E41" s="49"/>
      <c r="F41" s="60">
        <f>SUBTOTAL(9,F42:F57)</f>
        <v>106270</v>
      </c>
      <c r="G41" s="60"/>
    </row>
    <row r="42" spans="1:7" s="7" customFormat="1" ht="132" customHeight="1">
      <c r="A42" s="116" t="s">
        <v>159</v>
      </c>
      <c r="B42" s="47" t="s">
        <v>7</v>
      </c>
      <c r="C42" s="6" t="s">
        <v>59</v>
      </c>
      <c r="D42" s="6" t="s">
        <v>97</v>
      </c>
      <c r="E42" s="49"/>
      <c r="F42" s="60">
        <f>SUBTOTAL(9,F43:F44)</f>
        <v>6189</v>
      </c>
      <c r="G42" s="60"/>
    </row>
    <row r="43" spans="1:7" s="7" customFormat="1" ht="56.25">
      <c r="A43" s="99" t="s">
        <v>73</v>
      </c>
      <c r="B43" s="47" t="s">
        <v>7</v>
      </c>
      <c r="C43" s="6" t="s">
        <v>59</v>
      </c>
      <c r="D43" s="6" t="s">
        <v>97</v>
      </c>
      <c r="E43" s="49" t="s">
        <v>70</v>
      </c>
      <c r="F43" s="61">
        <f>4995-181+500+700-2</f>
        <v>6012</v>
      </c>
      <c r="G43" s="61"/>
    </row>
    <row r="44" spans="1:7" s="7" customFormat="1" ht="42.6" customHeight="1">
      <c r="A44" s="99" t="s">
        <v>74</v>
      </c>
      <c r="B44" s="47" t="s">
        <v>7</v>
      </c>
      <c r="C44" s="6" t="s">
        <v>59</v>
      </c>
      <c r="D44" s="6" t="s">
        <v>97</v>
      </c>
      <c r="E44" s="49" t="s">
        <v>71</v>
      </c>
      <c r="F44" s="61">
        <f>100+77</f>
        <v>177</v>
      </c>
      <c r="G44" s="61"/>
    </row>
    <row r="45" spans="1:7" s="7" customFormat="1" ht="75">
      <c r="A45" s="113" t="s">
        <v>161</v>
      </c>
      <c r="B45" s="47" t="s">
        <v>7</v>
      </c>
      <c r="C45" s="6" t="s">
        <v>59</v>
      </c>
      <c r="D45" s="80" t="s">
        <v>98</v>
      </c>
      <c r="E45" s="49"/>
      <c r="F45" s="60">
        <f>SUBTOTAL(9,F46:F47)</f>
        <v>16945</v>
      </c>
      <c r="G45" s="57"/>
    </row>
    <row r="46" spans="1:7" s="7" customFormat="1" ht="56.25">
      <c r="A46" s="44" t="s">
        <v>73</v>
      </c>
      <c r="B46" s="47" t="s">
        <v>7</v>
      </c>
      <c r="C46" s="6" t="s">
        <v>59</v>
      </c>
      <c r="D46" s="80" t="s">
        <v>98</v>
      </c>
      <c r="E46" s="49" t="s">
        <v>70</v>
      </c>
      <c r="F46" s="61">
        <f>390+90-90</f>
        <v>390</v>
      </c>
      <c r="G46" s="45"/>
    </row>
    <row r="47" spans="1:7" s="7" customFormat="1">
      <c r="A47" s="48" t="s">
        <v>89</v>
      </c>
      <c r="B47" s="47" t="s">
        <v>7</v>
      </c>
      <c r="C47" s="6" t="s">
        <v>59</v>
      </c>
      <c r="D47" s="80" t="s">
        <v>98</v>
      </c>
      <c r="E47" s="49" t="s">
        <v>16</v>
      </c>
      <c r="F47" s="61">
        <v>16555</v>
      </c>
      <c r="G47" s="61"/>
    </row>
    <row r="48" spans="1:7" s="7" customFormat="1" ht="75">
      <c r="A48" s="113" t="s">
        <v>140</v>
      </c>
      <c r="B48" s="47" t="s">
        <v>7</v>
      </c>
      <c r="C48" s="6" t="s">
        <v>59</v>
      </c>
      <c r="D48" s="80" t="s">
        <v>99</v>
      </c>
      <c r="E48" s="49"/>
      <c r="F48" s="60">
        <f>SUBTOTAL(9,F49)</f>
        <v>97</v>
      </c>
      <c r="G48" s="60"/>
    </row>
    <row r="49" spans="1:7" s="7" customFormat="1" ht="56.25">
      <c r="A49" s="48" t="s">
        <v>73</v>
      </c>
      <c r="B49" s="47" t="s">
        <v>7</v>
      </c>
      <c r="C49" s="6" t="s">
        <v>59</v>
      </c>
      <c r="D49" s="80" t="s">
        <v>99</v>
      </c>
      <c r="E49" s="49" t="s">
        <v>70</v>
      </c>
      <c r="F49" s="61">
        <f>125-5-11-16+4</f>
        <v>97</v>
      </c>
      <c r="G49" s="45"/>
    </row>
    <row r="50" spans="1:7" s="7" customFormat="1" ht="75">
      <c r="A50" s="113" t="s">
        <v>149</v>
      </c>
      <c r="B50" s="47" t="s">
        <v>7</v>
      </c>
      <c r="C50" s="6" t="s">
        <v>59</v>
      </c>
      <c r="D50" s="80" t="s">
        <v>132</v>
      </c>
      <c r="E50" s="82"/>
      <c r="F50" s="60">
        <f>SUBTOTAL(9,F51:F51)</f>
        <v>5</v>
      </c>
      <c r="G50" s="60"/>
    </row>
    <row r="51" spans="1:7" s="7" customFormat="1" ht="56.25">
      <c r="A51" s="99" t="s">
        <v>73</v>
      </c>
      <c r="B51" s="47" t="s">
        <v>7</v>
      </c>
      <c r="C51" s="6" t="s">
        <v>59</v>
      </c>
      <c r="D51" s="80" t="s">
        <v>132</v>
      </c>
      <c r="E51" s="82" t="s">
        <v>70</v>
      </c>
      <c r="F51" s="61">
        <v>5</v>
      </c>
      <c r="G51" s="61"/>
    </row>
    <row r="52" spans="1:7" s="7" customFormat="1" ht="37.5">
      <c r="A52" s="44" t="s">
        <v>94</v>
      </c>
      <c r="B52" s="47" t="s">
        <v>7</v>
      </c>
      <c r="C52" s="6" t="s">
        <v>59</v>
      </c>
      <c r="D52" s="80" t="s">
        <v>96</v>
      </c>
      <c r="E52" s="49"/>
      <c r="F52" s="60">
        <f>SUBTOTAL(9,F53:F57)</f>
        <v>83034</v>
      </c>
      <c r="G52" s="60"/>
    </row>
    <row r="53" spans="1:7" s="7" customFormat="1" ht="37.5">
      <c r="A53" s="99" t="s">
        <v>78</v>
      </c>
      <c r="B53" s="47" t="s">
        <v>7</v>
      </c>
      <c r="C53" s="6" t="s">
        <v>59</v>
      </c>
      <c r="D53" s="80" t="s">
        <v>96</v>
      </c>
      <c r="E53" s="49" t="s">
        <v>77</v>
      </c>
      <c r="F53" s="61">
        <f>35500-10</f>
        <v>35490</v>
      </c>
      <c r="G53" s="45"/>
    </row>
    <row r="54" spans="1:7" s="7" customFormat="1" ht="56.25">
      <c r="A54" s="44" t="s">
        <v>86</v>
      </c>
      <c r="B54" s="47" t="s">
        <v>7</v>
      </c>
      <c r="C54" s="6" t="s">
        <v>59</v>
      </c>
      <c r="D54" s="80" t="s">
        <v>96</v>
      </c>
      <c r="E54" s="49" t="s">
        <v>69</v>
      </c>
      <c r="F54" s="61">
        <f>22452+832+146+270+215+90</f>
        <v>24005</v>
      </c>
      <c r="G54" s="45"/>
    </row>
    <row r="55" spans="1:7" s="7" customFormat="1" ht="56.25">
      <c r="A55" s="44" t="s">
        <v>73</v>
      </c>
      <c r="B55" s="47" t="s">
        <v>7</v>
      </c>
      <c r="C55" s="6" t="s">
        <v>59</v>
      </c>
      <c r="D55" s="80" t="s">
        <v>96</v>
      </c>
      <c r="E55" s="49" t="s">
        <v>70</v>
      </c>
      <c r="F55" s="61">
        <f>21375-146+78-46+60+187+81+700+700-700-90-10+16-87+20+40</f>
        <v>22178</v>
      </c>
      <c r="G55" s="45"/>
    </row>
    <row r="56" spans="1:7" s="7" customFormat="1">
      <c r="A56" s="44" t="s">
        <v>170</v>
      </c>
      <c r="B56" s="47" t="s">
        <v>7</v>
      </c>
      <c r="C56" s="6" t="s">
        <v>59</v>
      </c>
      <c r="D56" s="80" t="s">
        <v>96</v>
      </c>
      <c r="E56" s="49" t="s">
        <v>118</v>
      </c>
      <c r="F56" s="61">
        <f>141+200+57+35+22</f>
        <v>455</v>
      </c>
      <c r="G56" s="45"/>
    </row>
    <row r="57" spans="1:7" s="7" customFormat="1" ht="37.5">
      <c r="A57" s="85" t="s">
        <v>74</v>
      </c>
      <c r="B57" s="52" t="s">
        <v>7</v>
      </c>
      <c r="C57" s="53" t="s">
        <v>59</v>
      </c>
      <c r="D57" s="80" t="s">
        <v>96</v>
      </c>
      <c r="E57" s="49" t="s">
        <v>71</v>
      </c>
      <c r="F57" s="61">
        <f>970-2-95+55+10-32</f>
        <v>906</v>
      </c>
      <c r="G57" s="61"/>
    </row>
    <row r="58" spans="1:7" s="7" customFormat="1">
      <c r="A58" s="74" t="s">
        <v>20</v>
      </c>
      <c r="B58" s="75" t="s">
        <v>8</v>
      </c>
      <c r="C58" s="76"/>
      <c r="D58" s="76"/>
      <c r="E58" s="77"/>
      <c r="F58" s="78">
        <f>SUBTOTAL(9,F59:F61)</f>
        <v>353</v>
      </c>
      <c r="G58" s="79"/>
    </row>
    <row r="59" spans="1:7" s="7" customFormat="1" ht="37.5">
      <c r="A59" s="65" t="s">
        <v>21</v>
      </c>
      <c r="B59" s="66" t="s">
        <v>8</v>
      </c>
      <c r="C59" s="46" t="s">
        <v>12</v>
      </c>
      <c r="D59" s="46"/>
      <c r="E59" s="71"/>
      <c r="F59" s="69">
        <f>SUBTOTAL(9,F60:F61)</f>
        <v>353</v>
      </c>
      <c r="G59" s="70"/>
    </row>
    <row r="60" spans="1:7" s="7" customFormat="1" ht="37.5">
      <c r="A60" s="44" t="s">
        <v>94</v>
      </c>
      <c r="B60" s="47" t="s">
        <v>8</v>
      </c>
      <c r="C60" s="6" t="s">
        <v>12</v>
      </c>
      <c r="D60" s="80" t="s">
        <v>96</v>
      </c>
      <c r="E60" s="49"/>
      <c r="F60" s="60">
        <f>SUBTOTAL(9,F61)</f>
        <v>353</v>
      </c>
      <c r="G60" s="57"/>
    </row>
    <row r="61" spans="1:7" s="7" customFormat="1" ht="56.25">
      <c r="A61" s="72" t="s">
        <v>73</v>
      </c>
      <c r="B61" s="52" t="s">
        <v>8</v>
      </c>
      <c r="C61" s="53" t="s">
        <v>12</v>
      </c>
      <c r="D61" s="80" t="s">
        <v>96</v>
      </c>
      <c r="E61" s="54" t="s">
        <v>70</v>
      </c>
      <c r="F61" s="61">
        <f>180+73+100</f>
        <v>353</v>
      </c>
      <c r="G61" s="45"/>
    </row>
    <row r="62" spans="1:7" s="10" customFormat="1" ht="37.5">
      <c r="A62" s="74" t="s">
        <v>23</v>
      </c>
      <c r="B62" s="75" t="s">
        <v>9</v>
      </c>
      <c r="C62" s="76"/>
      <c r="D62" s="76"/>
      <c r="E62" s="77"/>
      <c r="F62" s="140">
        <f>SUBTOTAL(9,F63:F71)</f>
        <v>5290</v>
      </c>
      <c r="G62" s="78">
        <f>SUBTOTAL(9,G63:G71)</f>
        <v>190</v>
      </c>
    </row>
    <row r="63" spans="1:7" s="12" customFormat="1" ht="75">
      <c r="A63" s="73" t="s">
        <v>22</v>
      </c>
      <c r="B63" s="66" t="s">
        <v>9</v>
      </c>
      <c r="C63" s="46" t="s">
        <v>24</v>
      </c>
      <c r="D63" s="46"/>
      <c r="E63" s="71"/>
      <c r="F63" s="69">
        <f>SUBTOTAL(9,F64:F65)</f>
        <v>986</v>
      </c>
      <c r="G63" s="70"/>
    </row>
    <row r="64" spans="1:7" ht="154.15" customHeight="1">
      <c r="A64" s="107" t="s">
        <v>162</v>
      </c>
      <c r="B64" s="47" t="s">
        <v>9</v>
      </c>
      <c r="C64" s="6" t="s">
        <v>24</v>
      </c>
      <c r="D64" s="80" t="s">
        <v>100</v>
      </c>
      <c r="E64" s="49"/>
      <c r="F64" s="60">
        <f>SUBTOTAL(9,F65:F65)</f>
        <v>986</v>
      </c>
      <c r="G64" s="57"/>
    </row>
    <row r="65" spans="1:7" ht="56.25">
      <c r="A65" s="99" t="s">
        <v>73</v>
      </c>
      <c r="B65" s="47" t="s">
        <v>9</v>
      </c>
      <c r="C65" s="6" t="s">
        <v>24</v>
      </c>
      <c r="D65" s="80" t="s">
        <v>100</v>
      </c>
      <c r="E65" s="49" t="s">
        <v>70</v>
      </c>
      <c r="F65" s="61">
        <v>986</v>
      </c>
      <c r="G65" s="45"/>
    </row>
    <row r="66" spans="1:7" ht="56.25">
      <c r="A66" s="99" t="s">
        <v>53</v>
      </c>
      <c r="B66" s="47" t="s">
        <v>9</v>
      </c>
      <c r="C66" s="6" t="s">
        <v>10</v>
      </c>
      <c r="D66" s="6"/>
      <c r="E66" s="49"/>
      <c r="F66" s="60">
        <f>SUBTOTAL(9,F67:F71)</f>
        <v>4304</v>
      </c>
      <c r="G66" s="60">
        <f>SUBTOTAL(9,G67:G71)</f>
        <v>190</v>
      </c>
    </row>
    <row r="67" spans="1:7" ht="93.75">
      <c r="A67" s="134" t="s">
        <v>154</v>
      </c>
      <c r="B67" s="47" t="s">
        <v>9</v>
      </c>
      <c r="C67" s="6" t="s">
        <v>10</v>
      </c>
      <c r="D67" s="80" t="s">
        <v>101</v>
      </c>
      <c r="E67" s="49"/>
      <c r="F67" s="60">
        <f>SUBTOTAL(9,F68:F69)</f>
        <v>4185</v>
      </c>
      <c r="G67" s="60">
        <f>SUBTOTAL(9,G68:G69)</f>
        <v>190</v>
      </c>
    </row>
    <row r="68" spans="1:7" ht="56.25">
      <c r="A68" s="48" t="s">
        <v>73</v>
      </c>
      <c r="B68" s="47" t="s">
        <v>9</v>
      </c>
      <c r="C68" s="6" t="s">
        <v>10</v>
      </c>
      <c r="D68" s="80" t="s">
        <v>101</v>
      </c>
      <c r="E68" s="49" t="s">
        <v>70</v>
      </c>
      <c r="F68" s="61">
        <f>2400+200</f>
        <v>2600</v>
      </c>
      <c r="G68" s="45"/>
    </row>
    <row r="69" spans="1:7" ht="79.900000000000006" customHeight="1">
      <c r="A69" s="48" t="s">
        <v>82</v>
      </c>
      <c r="B69" s="47" t="s">
        <v>9</v>
      </c>
      <c r="C69" s="6" t="s">
        <v>10</v>
      </c>
      <c r="D69" s="80" t="s">
        <v>101</v>
      </c>
      <c r="E69" s="49" t="s">
        <v>81</v>
      </c>
      <c r="F69" s="61">
        <f>1090+109+386</f>
        <v>1585</v>
      </c>
      <c r="G69" s="45">
        <v>190</v>
      </c>
    </row>
    <row r="70" spans="1:7" ht="114.6" customHeight="1">
      <c r="A70" s="99" t="s">
        <v>131</v>
      </c>
      <c r="B70" s="47" t="s">
        <v>9</v>
      </c>
      <c r="C70" s="6" t="s">
        <v>10</v>
      </c>
      <c r="D70" s="80" t="s">
        <v>126</v>
      </c>
      <c r="E70" s="82"/>
      <c r="F70" s="60">
        <f>SUBTOTAL(9,F71:F71)</f>
        <v>119</v>
      </c>
      <c r="G70" s="57"/>
    </row>
    <row r="71" spans="1:7" ht="60" customHeight="1">
      <c r="A71" s="99" t="s">
        <v>73</v>
      </c>
      <c r="B71" s="47" t="s">
        <v>9</v>
      </c>
      <c r="C71" s="6" t="s">
        <v>10</v>
      </c>
      <c r="D71" s="80" t="s">
        <v>126</v>
      </c>
      <c r="E71" s="82" t="s">
        <v>70</v>
      </c>
      <c r="F71" s="61">
        <f>200-81</f>
        <v>119</v>
      </c>
      <c r="G71" s="45"/>
    </row>
    <row r="72" spans="1:7" s="12" customFormat="1">
      <c r="A72" s="74" t="s">
        <v>14</v>
      </c>
      <c r="B72" s="75" t="s">
        <v>12</v>
      </c>
      <c r="C72" s="76"/>
      <c r="D72" s="76"/>
      <c r="E72" s="77"/>
      <c r="F72" s="78">
        <f>SUBTOTAL(9,F73:F93)</f>
        <v>189984</v>
      </c>
      <c r="G72" s="78">
        <f>SUBTOTAL(9,G73:G93)</f>
        <v>115059</v>
      </c>
    </row>
    <row r="73" spans="1:7" s="12" customFormat="1">
      <c r="A73" s="44" t="s">
        <v>26</v>
      </c>
      <c r="B73" s="47" t="s">
        <v>12</v>
      </c>
      <c r="C73" s="6" t="s">
        <v>25</v>
      </c>
      <c r="D73" s="6"/>
      <c r="E73" s="49"/>
      <c r="F73" s="60">
        <f>SUBTOTAL(9,F74:F76)</f>
        <v>13453</v>
      </c>
      <c r="G73" s="57"/>
    </row>
    <row r="74" spans="1:7" s="12" customFormat="1" ht="131.25">
      <c r="A74" s="108" t="s">
        <v>156</v>
      </c>
      <c r="B74" s="47" t="s">
        <v>12</v>
      </c>
      <c r="C74" s="6" t="s">
        <v>25</v>
      </c>
      <c r="D74" s="80" t="s">
        <v>103</v>
      </c>
      <c r="E74" s="49"/>
      <c r="F74" s="60">
        <f>SUBTOTAL(9,F75:F76)</f>
        <v>13453</v>
      </c>
      <c r="G74" s="57"/>
    </row>
    <row r="75" spans="1:7" s="12" customFormat="1" ht="56.25">
      <c r="A75" s="100" t="s">
        <v>73</v>
      </c>
      <c r="B75" s="47" t="s">
        <v>12</v>
      </c>
      <c r="C75" s="6" t="s">
        <v>25</v>
      </c>
      <c r="D75" s="80" t="s">
        <v>103</v>
      </c>
      <c r="E75" s="49" t="s">
        <v>70</v>
      </c>
      <c r="F75" s="61">
        <f>6625+2662</f>
        <v>9287</v>
      </c>
      <c r="G75" s="45"/>
    </row>
    <row r="76" spans="1:7" s="12" customFormat="1" ht="75">
      <c r="A76" s="99" t="s">
        <v>80</v>
      </c>
      <c r="B76" s="47" t="s">
        <v>12</v>
      </c>
      <c r="C76" s="6" t="s">
        <v>25</v>
      </c>
      <c r="D76" s="80" t="s">
        <v>103</v>
      </c>
      <c r="E76" s="49" t="s">
        <v>79</v>
      </c>
      <c r="F76" s="61">
        <f>8049-2662-1112-109</f>
        <v>4166</v>
      </c>
      <c r="G76" s="45"/>
    </row>
    <row r="77" spans="1:7" s="12" customFormat="1" ht="37.5">
      <c r="A77" s="99" t="s">
        <v>64</v>
      </c>
      <c r="B77" s="47" t="s">
        <v>12</v>
      </c>
      <c r="C77" s="6" t="s">
        <v>24</v>
      </c>
      <c r="D77" s="6"/>
      <c r="E77" s="49"/>
      <c r="F77" s="60">
        <f>SUBTOTAL(9,F78:F80)</f>
        <v>140148</v>
      </c>
      <c r="G77" s="60">
        <f>SUBTOTAL(9,G78:G80)</f>
        <v>112500</v>
      </c>
    </row>
    <row r="78" spans="1:7" ht="131.25">
      <c r="A78" s="108" t="s">
        <v>156</v>
      </c>
      <c r="B78" s="47" t="s">
        <v>12</v>
      </c>
      <c r="C78" s="6" t="s">
        <v>24</v>
      </c>
      <c r="D78" s="80" t="s">
        <v>103</v>
      </c>
      <c r="E78" s="49"/>
      <c r="F78" s="60">
        <f>SUBTOTAL(9,F79:F80)</f>
        <v>140148</v>
      </c>
      <c r="G78" s="60">
        <f>SUBTOTAL(9,G79:G80)</f>
        <v>112500</v>
      </c>
    </row>
    <row r="79" spans="1:7" ht="56.25">
      <c r="A79" s="100" t="s">
        <v>73</v>
      </c>
      <c r="B79" s="47" t="s">
        <v>12</v>
      </c>
      <c r="C79" s="6" t="s">
        <v>24</v>
      </c>
      <c r="D79" s="80" t="s">
        <v>103</v>
      </c>
      <c r="E79" s="49" t="s">
        <v>70</v>
      </c>
      <c r="F79" s="61">
        <f>15052+112500+5397+450+2182+2129+225</f>
        <v>137935</v>
      </c>
      <c r="G79" s="45">
        <v>112500</v>
      </c>
    </row>
    <row r="80" spans="1:7">
      <c r="A80" s="99" t="s">
        <v>89</v>
      </c>
      <c r="B80" s="47" t="s">
        <v>12</v>
      </c>
      <c r="C80" s="6" t="s">
        <v>24</v>
      </c>
      <c r="D80" s="80" t="s">
        <v>103</v>
      </c>
      <c r="E80" s="49" t="s">
        <v>16</v>
      </c>
      <c r="F80" s="141">
        <v>2213</v>
      </c>
      <c r="G80" s="45"/>
    </row>
    <row r="81" spans="1:7" s="12" customFormat="1" ht="37.5">
      <c r="A81" s="99" t="s">
        <v>15</v>
      </c>
      <c r="B81" s="47" t="s">
        <v>12</v>
      </c>
      <c r="C81" s="6" t="s">
        <v>13</v>
      </c>
      <c r="D81" s="6"/>
      <c r="E81" s="49"/>
      <c r="F81" s="69">
        <f>SUBTOTAL(9,F82:F93)</f>
        <v>36383</v>
      </c>
      <c r="G81" s="60">
        <f>SUBTOTAL(9,G82:G93)</f>
        <v>2559</v>
      </c>
    </row>
    <row r="82" spans="1:7" s="12" customFormat="1" ht="93.75">
      <c r="A82" s="107" t="s">
        <v>146</v>
      </c>
      <c r="B82" s="47" t="s">
        <v>12</v>
      </c>
      <c r="C82" s="6" t="s">
        <v>13</v>
      </c>
      <c r="D82" s="80" t="s">
        <v>105</v>
      </c>
      <c r="E82" s="49"/>
      <c r="F82" s="60">
        <f>SUBTOTAL(9,F83:F83)</f>
        <v>4054</v>
      </c>
      <c r="G82" s="60"/>
    </row>
    <row r="83" spans="1:7" s="12" customFormat="1">
      <c r="A83" s="101" t="s">
        <v>91</v>
      </c>
      <c r="B83" s="47" t="s">
        <v>12</v>
      </c>
      <c r="C83" s="6" t="s">
        <v>13</v>
      </c>
      <c r="D83" s="80" t="s">
        <v>105</v>
      </c>
      <c r="E83" s="49" t="s">
        <v>90</v>
      </c>
      <c r="F83" s="61">
        <v>4054</v>
      </c>
      <c r="G83" s="45"/>
    </row>
    <row r="84" spans="1:7" s="12" customFormat="1" ht="131.44999999999999" customHeight="1">
      <c r="A84" s="116" t="s">
        <v>159</v>
      </c>
      <c r="B84" s="83" t="s">
        <v>12</v>
      </c>
      <c r="C84" s="81" t="s">
        <v>13</v>
      </c>
      <c r="D84" s="6" t="s">
        <v>97</v>
      </c>
      <c r="E84" s="82"/>
      <c r="F84" s="60">
        <f>SUBTOTAL(9,F85:F85)</f>
        <v>2853</v>
      </c>
      <c r="G84" s="60">
        <f>SUBTOTAL(9,G85:G85)</f>
        <v>2505</v>
      </c>
    </row>
    <row r="85" spans="1:7" s="12" customFormat="1" ht="56.25">
      <c r="A85" s="101" t="s">
        <v>73</v>
      </c>
      <c r="B85" s="83" t="s">
        <v>12</v>
      </c>
      <c r="C85" s="81" t="s">
        <v>13</v>
      </c>
      <c r="D85" s="6" t="s">
        <v>97</v>
      </c>
      <c r="E85" s="82" t="s">
        <v>70</v>
      </c>
      <c r="F85" s="61">
        <f>3719-77-5-267-55-312-150</f>
        <v>2853</v>
      </c>
      <c r="G85" s="45">
        <f>2559-54</f>
        <v>2505</v>
      </c>
    </row>
    <row r="86" spans="1:7" s="12" customFormat="1" ht="75">
      <c r="A86" s="113" t="s">
        <v>161</v>
      </c>
      <c r="B86" s="47" t="s">
        <v>12</v>
      </c>
      <c r="C86" s="6" t="s">
        <v>13</v>
      </c>
      <c r="D86" s="80" t="s">
        <v>98</v>
      </c>
      <c r="E86" s="49"/>
      <c r="F86" s="60">
        <f>SUBTOTAL(9,F87)</f>
        <v>1000</v>
      </c>
      <c r="G86" s="57"/>
    </row>
    <row r="87" spans="1:7" s="12" customFormat="1" ht="56.25">
      <c r="A87" s="48" t="s">
        <v>73</v>
      </c>
      <c r="B87" s="47" t="s">
        <v>12</v>
      </c>
      <c r="C87" s="6" t="s">
        <v>13</v>
      </c>
      <c r="D87" s="80" t="s">
        <v>98</v>
      </c>
      <c r="E87" s="49" t="s">
        <v>70</v>
      </c>
      <c r="F87" s="61">
        <f>1280-280</f>
        <v>1000</v>
      </c>
      <c r="G87" s="45"/>
    </row>
    <row r="88" spans="1:7" s="12" customFormat="1" ht="75">
      <c r="A88" s="117" t="s">
        <v>139</v>
      </c>
      <c r="B88" s="47" t="s">
        <v>12</v>
      </c>
      <c r="C88" s="6" t="s">
        <v>13</v>
      </c>
      <c r="D88" s="80" t="s">
        <v>104</v>
      </c>
      <c r="E88" s="49"/>
      <c r="F88" s="60">
        <f>SUBTOTAL(9,F89:F91)</f>
        <v>24857</v>
      </c>
      <c r="G88" s="60">
        <f>SUBTOTAL(9,G89:G91)</f>
        <v>54</v>
      </c>
    </row>
    <row r="89" spans="1:7" s="12" customFormat="1" ht="56.25">
      <c r="A89" s="99" t="s">
        <v>73</v>
      </c>
      <c r="B89" s="47" t="s">
        <v>12</v>
      </c>
      <c r="C89" s="6" t="s">
        <v>13</v>
      </c>
      <c r="D89" s="80" t="s">
        <v>104</v>
      </c>
      <c r="E89" s="49" t="s">
        <v>70</v>
      </c>
      <c r="F89" s="61">
        <f>14337+55-35</f>
        <v>14357</v>
      </c>
      <c r="G89" s="45">
        <v>54</v>
      </c>
    </row>
    <row r="90" spans="1:7" s="12" customFormat="1">
      <c r="A90" s="99" t="s">
        <v>123</v>
      </c>
      <c r="B90" s="47" t="s">
        <v>12</v>
      </c>
      <c r="C90" s="6" t="s">
        <v>13</v>
      </c>
      <c r="D90" s="80" t="s">
        <v>104</v>
      </c>
      <c r="E90" s="49" t="s">
        <v>87</v>
      </c>
      <c r="F90" s="61">
        <v>7000</v>
      </c>
      <c r="G90" s="45"/>
    </row>
    <row r="91" spans="1:7" s="12" customFormat="1">
      <c r="A91" s="99" t="s">
        <v>89</v>
      </c>
      <c r="B91" s="47" t="s">
        <v>12</v>
      </c>
      <c r="C91" s="6" t="s">
        <v>13</v>
      </c>
      <c r="D91" s="80" t="s">
        <v>104</v>
      </c>
      <c r="E91" s="49" t="s">
        <v>16</v>
      </c>
      <c r="F91" s="61">
        <v>3500</v>
      </c>
      <c r="G91" s="45"/>
    </row>
    <row r="92" spans="1:7" s="12" customFormat="1" ht="93.75">
      <c r="A92" s="107" t="s">
        <v>129</v>
      </c>
      <c r="B92" s="47" t="s">
        <v>12</v>
      </c>
      <c r="C92" s="6" t="s">
        <v>13</v>
      </c>
      <c r="D92" s="80" t="s">
        <v>102</v>
      </c>
      <c r="E92" s="49"/>
      <c r="F92" s="60">
        <f>SUBTOTAL(9,F93:F93)</f>
        <v>3619</v>
      </c>
      <c r="G92" s="60"/>
    </row>
    <row r="93" spans="1:7" s="12" customFormat="1" ht="56.25">
      <c r="A93" s="48" t="s">
        <v>73</v>
      </c>
      <c r="B93" s="47" t="s">
        <v>12</v>
      </c>
      <c r="C93" s="6" t="s">
        <v>13</v>
      </c>
      <c r="D93" s="80" t="s">
        <v>102</v>
      </c>
      <c r="E93" s="49" t="s">
        <v>70</v>
      </c>
      <c r="F93" s="61">
        <f>8819-5200</f>
        <v>3619</v>
      </c>
      <c r="G93" s="45"/>
    </row>
    <row r="94" spans="1:7" s="12" customFormat="1">
      <c r="A94" s="74" t="s">
        <v>27</v>
      </c>
      <c r="B94" s="75" t="s">
        <v>28</v>
      </c>
      <c r="C94" s="76"/>
      <c r="D94" s="76"/>
      <c r="E94" s="77"/>
      <c r="F94" s="78">
        <f>SUBTOTAL(9,F95:F128)</f>
        <v>1684749</v>
      </c>
      <c r="G94" s="78">
        <f>SUBTOTAL(9,G95:G128)</f>
        <v>1386047</v>
      </c>
    </row>
    <row r="95" spans="1:7" s="12" customFormat="1">
      <c r="A95" s="65" t="s">
        <v>58</v>
      </c>
      <c r="B95" s="66" t="s">
        <v>28</v>
      </c>
      <c r="C95" s="46" t="s">
        <v>7</v>
      </c>
      <c r="D95" s="46"/>
      <c r="E95" s="71"/>
      <c r="F95" s="69">
        <f>SUBTOTAL(9,F96:F102)</f>
        <v>1215178</v>
      </c>
      <c r="G95" s="69">
        <f>SUBTOTAL(9,G96:G102)</f>
        <v>1140857</v>
      </c>
    </row>
    <row r="96" spans="1:7" s="12" customFormat="1" ht="112.5" hidden="1">
      <c r="A96" s="99" t="s">
        <v>152</v>
      </c>
      <c r="B96" s="47" t="s">
        <v>28</v>
      </c>
      <c r="C96" s="6" t="s">
        <v>7</v>
      </c>
      <c r="D96" s="80" t="s">
        <v>125</v>
      </c>
      <c r="E96" s="49"/>
      <c r="F96" s="60">
        <f>SUBTOTAL(9,F97:F97)</f>
        <v>0</v>
      </c>
      <c r="G96" s="57"/>
    </row>
    <row r="97" spans="1:7" s="12" customFormat="1" ht="56.25" hidden="1">
      <c r="A97" s="44" t="s">
        <v>73</v>
      </c>
      <c r="B97" s="47" t="s">
        <v>28</v>
      </c>
      <c r="C97" s="6" t="s">
        <v>7</v>
      </c>
      <c r="D97" s="80" t="s">
        <v>125</v>
      </c>
      <c r="E97" s="49" t="s">
        <v>70</v>
      </c>
      <c r="F97" s="61">
        <f>150-150</f>
        <v>0</v>
      </c>
      <c r="G97" s="45"/>
    </row>
    <row r="98" spans="1:7" s="10" customFormat="1" ht="93.75">
      <c r="A98" s="107" t="s">
        <v>129</v>
      </c>
      <c r="B98" s="47" t="s">
        <v>28</v>
      </c>
      <c r="C98" s="6" t="s">
        <v>7</v>
      </c>
      <c r="D98" s="80" t="s">
        <v>102</v>
      </c>
      <c r="E98" s="49"/>
      <c r="F98" s="60">
        <f>SUBTOTAL(9,F99:F99)</f>
        <v>2100</v>
      </c>
      <c r="G98" s="57"/>
    </row>
    <row r="99" spans="1:7" ht="75">
      <c r="A99" s="99" t="s">
        <v>80</v>
      </c>
      <c r="B99" s="47" t="s">
        <v>28</v>
      </c>
      <c r="C99" s="6" t="s">
        <v>7</v>
      </c>
      <c r="D99" s="80" t="s">
        <v>102</v>
      </c>
      <c r="E99" s="49" t="s">
        <v>79</v>
      </c>
      <c r="F99" s="61">
        <f>1600+500</f>
        <v>2100</v>
      </c>
      <c r="G99" s="45"/>
    </row>
    <row r="100" spans="1:7" ht="111" customHeight="1">
      <c r="A100" s="116" t="s">
        <v>151</v>
      </c>
      <c r="B100" s="6" t="s">
        <v>28</v>
      </c>
      <c r="C100" s="81" t="s">
        <v>7</v>
      </c>
      <c r="D100" s="80" t="s">
        <v>128</v>
      </c>
      <c r="E100" s="82"/>
      <c r="F100" s="60">
        <f>SUBTOTAL(9,F101:F102)</f>
        <v>1213078</v>
      </c>
      <c r="G100" s="60">
        <f>SUBTOTAL(9,G101:G102)</f>
        <v>1140857</v>
      </c>
    </row>
    <row r="101" spans="1:7" ht="64.900000000000006" customHeight="1">
      <c r="A101" s="85" t="s">
        <v>73</v>
      </c>
      <c r="B101" s="83" t="s">
        <v>28</v>
      </c>
      <c r="C101" s="81" t="s">
        <v>7</v>
      </c>
      <c r="D101" s="80" t="s">
        <v>128</v>
      </c>
      <c r="E101" s="82" t="s">
        <v>70</v>
      </c>
      <c r="F101" s="61">
        <f>250+1200</f>
        <v>1450</v>
      </c>
      <c r="G101" s="61"/>
    </row>
    <row r="102" spans="1:7">
      <c r="A102" s="99" t="s">
        <v>123</v>
      </c>
      <c r="B102" s="47" t="s">
        <v>28</v>
      </c>
      <c r="C102" s="81" t="s">
        <v>7</v>
      </c>
      <c r="D102" s="80" t="s">
        <v>128</v>
      </c>
      <c r="E102" s="82" t="s">
        <v>87</v>
      </c>
      <c r="F102" s="61">
        <f>236810+633648-84742+22087+201164+4157-8623+23409+183718</f>
        <v>1211628</v>
      </c>
      <c r="G102" s="61">
        <f>193605+633648-84742+22087+201164-8623+183718</f>
        <v>1140857</v>
      </c>
    </row>
    <row r="103" spans="1:7">
      <c r="A103" s="99" t="s">
        <v>122</v>
      </c>
      <c r="B103" s="66" t="s">
        <v>28</v>
      </c>
      <c r="C103" s="46" t="s">
        <v>8</v>
      </c>
      <c r="D103" s="46"/>
      <c r="E103" s="71"/>
      <c r="F103" s="69">
        <f>SUBTOTAL(9,F104:F108)</f>
        <v>3002</v>
      </c>
      <c r="G103" s="69"/>
    </row>
    <row r="104" spans="1:7" ht="75">
      <c r="A104" s="107" t="s">
        <v>130</v>
      </c>
      <c r="B104" s="47" t="s">
        <v>28</v>
      </c>
      <c r="C104" s="6" t="s">
        <v>8</v>
      </c>
      <c r="D104" s="80" t="s">
        <v>124</v>
      </c>
      <c r="E104" s="49"/>
      <c r="F104" s="60">
        <f>SUBTOTAL(9,F105:F106)</f>
        <v>700</v>
      </c>
      <c r="G104" s="57"/>
    </row>
    <row r="105" spans="1:7" ht="56.25">
      <c r="A105" s="44" t="s">
        <v>73</v>
      </c>
      <c r="B105" s="47" t="s">
        <v>28</v>
      </c>
      <c r="C105" s="6" t="s">
        <v>8</v>
      </c>
      <c r="D105" s="80" t="s">
        <v>124</v>
      </c>
      <c r="E105" s="49" t="s">
        <v>70</v>
      </c>
      <c r="F105" s="61">
        <f>1200-500</f>
        <v>700</v>
      </c>
      <c r="G105" s="45"/>
    </row>
    <row r="106" spans="1:7" hidden="1">
      <c r="A106" s="44" t="s">
        <v>123</v>
      </c>
      <c r="B106" s="47" t="s">
        <v>28</v>
      </c>
      <c r="C106" s="6" t="s">
        <v>8</v>
      </c>
      <c r="D106" s="80" t="s">
        <v>124</v>
      </c>
      <c r="E106" s="49" t="s">
        <v>87</v>
      </c>
      <c r="F106" s="61"/>
      <c r="G106" s="45"/>
    </row>
    <row r="107" spans="1:7" ht="37.5">
      <c r="A107" s="101" t="s">
        <v>94</v>
      </c>
      <c r="B107" s="47" t="s">
        <v>28</v>
      </c>
      <c r="C107" s="6" t="s">
        <v>8</v>
      </c>
      <c r="D107" s="80" t="s">
        <v>96</v>
      </c>
      <c r="E107" s="49"/>
      <c r="F107" s="60">
        <f>SUBTOTAL(9,F108:F108)</f>
        <v>2302</v>
      </c>
      <c r="G107" s="60"/>
    </row>
    <row r="108" spans="1:7">
      <c r="A108" s="44" t="s">
        <v>170</v>
      </c>
      <c r="B108" s="47" t="s">
        <v>28</v>
      </c>
      <c r="C108" s="6" t="s">
        <v>8</v>
      </c>
      <c r="D108" s="80" t="s">
        <v>96</v>
      </c>
      <c r="E108" s="49" t="s">
        <v>118</v>
      </c>
      <c r="F108" s="61">
        <v>2302</v>
      </c>
      <c r="G108" s="61"/>
    </row>
    <row r="109" spans="1:7">
      <c r="A109" s="99" t="s">
        <v>29</v>
      </c>
      <c r="B109" s="47" t="s">
        <v>28</v>
      </c>
      <c r="C109" s="6" t="s">
        <v>9</v>
      </c>
      <c r="D109" s="6"/>
      <c r="E109" s="49"/>
      <c r="F109" s="60">
        <f>SUBTOTAL(9,F110:F116)</f>
        <v>256138</v>
      </c>
      <c r="G109" s="60">
        <f>SUBTOTAL(9,G110:G114)</f>
        <v>62827</v>
      </c>
    </row>
    <row r="110" spans="1:7" ht="93.75">
      <c r="A110" s="107" t="s">
        <v>129</v>
      </c>
      <c r="B110" s="47" t="s">
        <v>28</v>
      </c>
      <c r="C110" s="6" t="s">
        <v>9</v>
      </c>
      <c r="D110" s="80" t="s">
        <v>102</v>
      </c>
      <c r="E110" s="96"/>
      <c r="F110" s="97">
        <f>SUBTOTAL(9,F111:F112)</f>
        <v>195830</v>
      </c>
      <c r="G110" s="97">
        <f>SUBTOTAL(9,G111:G112)</f>
        <v>8430</v>
      </c>
    </row>
    <row r="111" spans="1:7" ht="56.25">
      <c r="A111" s="44" t="s">
        <v>73</v>
      </c>
      <c r="B111" s="47" t="s">
        <v>28</v>
      </c>
      <c r="C111" s="6" t="s">
        <v>9</v>
      </c>
      <c r="D111" s="80" t="s">
        <v>102</v>
      </c>
      <c r="E111" s="49" t="s">
        <v>70</v>
      </c>
      <c r="F111" s="61">
        <f>8769+4332+5989+240+205+260+717+2441+3+417+734+160-2252-100+183</f>
        <v>22098</v>
      </c>
      <c r="G111" s="45">
        <f>5989+2441</f>
        <v>8430</v>
      </c>
    </row>
    <row r="112" spans="1:7">
      <c r="A112" s="48" t="s">
        <v>89</v>
      </c>
      <c r="B112" s="47" t="s">
        <v>28</v>
      </c>
      <c r="C112" s="6" t="s">
        <v>9</v>
      </c>
      <c r="D112" s="80" t="s">
        <v>102</v>
      </c>
      <c r="E112" s="49" t="s">
        <v>16</v>
      </c>
      <c r="F112" s="61">
        <f>174881+602+833-2000+3333+490-3823-584</f>
        <v>173732</v>
      </c>
      <c r="G112" s="61"/>
    </row>
    <row r="113" spans="1:7" ht="93.75">
      <c r="A113" s="113" t="s">
        <v>174</v>
      </c>
      <c r="B113" s="47" t="s">
        <v>28</v>
      </c>
      <c r="C113" s="6" t="s">
        <v>9</v>
      </c>
      <c r="D113" s="80" t="s">
        <v>121</v>
      </c>
      <c r="E113" s="49"/>
      <c r="F113" s="60">
        <f>SUBTOTAL(9,F114:F114)</f>
        <v>60069</v>
      </c>
      <c r="G113" s="60">
        <f>SUBTOTAL(9,G114:G114)</f>
        <v>54397</v>
      </c>
    </row>
    <row r="114" spans="1:7" ht="56.25">
      <c r="A114" s="101" t="s">
        <v>73</v>
      </c>
      <c r="B114" s="47" t="s">
        <v>28</v>
      </c>
      <c r="C114" s="6" t="s">
        <v>9</v>
      </c>
      <c r="D114" s="80" t="s">
        <v>121</v>
      </c>
      <c r="E114" s="49" t="s">
        <v>70</v>
      </c>
      <c r="F114" s="61">
        <f>11297+46873+1229+670</f>
        <v>60069</v>
      </c>
      <c r="G114" s="61">
        <f>7549+46848</f>
        <v>54397</v>
      </c>
    </row>
    <row r="115" spans="1:7" ht="37.5">
      <c r="A115" s="101" t="s">
        <v>94</v>
      </c>
      <c r="B115" s="47" t="s">
        <v>28</v>
      </c>
      <c r="C115" s="6" t="s">
        <v>9</v>
      </c>
      <c r="D115" s="80" t="s">
        <v>96</v>
      </c>
      <c r="E115" s="49"/>
      <c r="F115" s="60">
        <f>SUBTOTAL(9,F116:F116)</f>
        <v>239</v>
      </c>
      <c r="G115" s="60"/>
    </row>
    <row r="116" spans="1:7">
      <c r="A116" s="48" t="s">
        <v>89</v>
      </c>
      <c r="B116" s="47" t="s">
        <v>28</v>
      </c>
      <c r="C116" s="6" t="s">
        <v>9</v>
      </c>
      <c r="D116" s="80" t="s">
        <v>96</v>
      </c>
      <c r="E116" s="49" t="s">
        <v>16</v>
      </c>
      <c r="F116" s="61">
        <v>239</v>
      </c>
      <c r="G116" s="61"/>
    </row>
    <row r="117" spans="1:7" ht="37.5">
      <c r="A117" s="101" t="s">
        <v>30</v>
      </c>
      <c r="B117" s="83" t="s">
        <v>28</v>
      </c>
      <c r="C117" s="6" t="s">
        <v>28</v>
      </c>
      <c r="D117" s="6"/>
      <c r="E117" s="49"/>
      <c r="F117" s="60">
        <f>SUBTOTAL(9,F118:F128)</f>
        <v>210431</v>
      </c>
      <c r="G117" s="60">
        <f>SUBTOTAL(9,G118:G128)</f>
        <v>182363</v>
      </c>
    </row>
    <row r="118" spans="1:7" ht="75">
      <c r="A118" s="107" t="s">
        <v>130</v>
      </c>
      <c r="B118" s="83" t="s">
        <v>28</v>
      </c>
      <c r="C118" s="6" t="s">
        <v>28</v>
      </c>
      <c r="D118" s="80" t="s">
        <v>124</v>
      </c>
      <c r="E118" s="49"/>
      <c r="F118" s="60">
        <f>SUBTOTAL(9,F119:F119)</f>
        <v>28028</v>
      </c>
      <c r="G118" s="60">
        <f>SUBTOTAL(9,G119:G119)</f>
        <v>25000</v>
      </c>
    </row>
    <row r="119" spans="1:7">
      <c r="A119" s="101" t="s">
        <v>123</v>
      </c>
      <c r="B119" s="83" t="s">
        <v>28</v>
      </c>
      <c r="C119" s="6" t="s">
        <v>28</v>
      </c>
      <c r="D119" s="80" t="s">
        <v>124</v>
      </c>
      <c r="E119" s="49" t="s">
        <v>87</v>
      </c>
      <c r="F119" s="61">
        <f>3436+25000-225-183</f>
        <v>28028</v>
      </c>
      <c r="G119" s="61">
        <v>25000</v>
      </c>
    </row>
    <row r="120" spans="1:7" ht="93.75">
      <c r="A120" s="107" t="s">
        <v>129</v>
      </c>
      <c r="B120" s="83" t="s">
        <v>28</v>
      </c>
      <c r="C120" s="81" t="s">
        <v>28</v>
      </c>
      <c r="D120" s="80" t="s">
        <v>102</v>
      </c>
      <c r="E120" s="82"/>
      <c r="F120" s="60">
        <f>SUBTOTAL(9,F121:F123)</f>
        <v>17051</v>
      </c>
      <c r="G120" s="60"/>
    </row>
    <row r="121" spans="1:7" ht="37.5">
      <c r="A121" s="101" t="s">
        <v>78</v>
      </c>
      <c r="B121" s="83" t="s">
        <v>28</v>
      </c>
      <c r="C121" s="81" t="s">
        <v>28</v>
      </c>
      <c r="D121" s="80" t="s">
        <v>102</v>
      </c>
      <c r="E121" s="82" t="s">
        <v>77</v>
      </c>
      <c r="F121" s="61">
        <f>14439+48+532-7</f>
        <v>15012</v>
      </c>
      <c r="G121" s="61"/>
    </row>
    <row r="122" spans="1:7" ht="56.25">
      <c r="A122" s="86" t="s">
        <v>73</v>
      </c>
      <c r="B122" s="83" t="s">
        <v>28</v>
      </c>
      <c r="C122" s="81" t="s">
        <v>28</v>
      </c>
      <c r="D122" s="80" t="s">
        <v>102</v>
      </c>
      <c r="E122" s="82" t="s">
        <v>70</v>
      </c>
      <c r="F122" s="61">
        <f>1617-240-260-34</f>
        <v>1083</v>
      </c>
      <c r="G122" s="61"/>
    </row>
    <row r="123" spans="1:7" ht="37.5">
      <c r="A123" s="86" t="s">
        <v>74</v>
      </c>
      <c r="B123" s="83" t="s">
        <v>28</v>
      </c>
      <c r="C123" s="81" t="s">
        <v>28</v>
      </c>
      <c r="D123" s="80" t="s">
        <v>102</v>
      </c>
      <c r="E123" s="82" t="s">
        <v>71</v>
      </c>
      <c r="F123" s="61">
        <f>863+86+7</f>
        <v>956</v>
      </c>
      <c r="G123" s="61"/>
    </row>
    <row r="124" spans="1:7" ht="93.75">
      <c r="A124" s="113" t="s">
        <v>174</v>
      </c>
      <c r="B124" s="47" t="s">
        <v>28</v>
      </c>
      <c r="C124" s="81" t="s">
        <v>28</v>
      </c>
      <c r="D124" s="80" t="s">
        <v>121</v>
      </c>
      <c r="E124" s="49"/>
      <c r="F124" s="60">
        <f>SUBTOTAL(9,F125:F125)</f>
        <v>162989</v>
      </c>
      <c r="G124" s="60">
        <f>SUBTOTAL(9,G125:G125)</f>
        <v>155000</v>
      </c>
    </row>
    <row r="125" spans="1:7" ht="56.25">
      <c r="A125" s="101" t="s">
        <v>73</v>
      </c>
      <c r="B125" s="47" t="s">
        <v>28</v>
      </c>
      <c r="C125" s="81" t="s">
        <v>28</v>
      </c>
      <c r="D125" s="80" t="s">
        <v>121</v>
      </c>
      <c r="E125" s="49" t="s">
        <v>70</v>
      </c>
      <c r="F125" s="61">
        <f>157342+3359+3793-3115-51-717-670-3+3051</f>
        <v>162989</v>
      </c>
      <c r="G125" s="61">
        <f>144500+10500</f>
        <v>155000</v>
      </c>
    </row>
    <row r="126" spans="1:7" ht="37.5">
      <c r="A126" s="101" t="s">
        <v>94</v>
      </c>
      <c r="B126" s="47" t="s">
        <v>28</v>
      </c>
      <c r="C126" s="6" t="s">
        <v>28</v>
      </c>
      <c r="D126" s="80" t="s">
        <v>96</v>
      </c>
      <c r="E126" s="118"/>
      <c r="F126" s="60">
        <f>SUBTOTAL(9,F127:F128)</f>
        <v>2363</v>
      </c>
      <c r="G126" s="60">
        <f>SUBTOTAL(9,G127:G128)</f>
        <v>2363</v>
      </c>
    </row>
    <row r="127" spans="1:7" ht="37.5">
      <c r="A127" s="101" t="s">
        <v>78</v>
      </c>
      <c r="B127" s="47" t="s">
        <v>28</v>
      </c>
      <c r="C127" s="6" t="s">
        <v>28</v>
      </c>
      <c r="D127" s="80" t="s">
        <v>96</v>
      </c>
      <c r="E127" s="82" t="s">
        <v>77</v>
      </c>
      <c r="F127" s="61">
        <v>35</v>
      </c>
      <c r="G127" s="61">
        <v>35</v>
      </c>
    </row>
    <row r="128" spans="1:7" ht="56.25">
      <c r="A128" s="86" t="s">
        <v>73</v>
      </c>
      <c r="B128" s="119" t="s">
        <v>28</v>
      </c>
      <c r="C128" s="120" t="s">
        <v>28</v>
      </c>
      <c r="D128" s="121" t="s">
        <v>96</v>
      </c>
      <c r="E128" s="118" t="s">
        <v>70</v>
      </c>
      <c r="F128" s="110">
        <v>2328</v>
      </c>
      <c r="G128" s="110">
        <v>2328</v>
      </c>
    </row>
    <row r="129" spans="1:9">
      <c r="A129" s="74" t="s">
        <v>32</v>
      </c>
      <c r="B129" s="75" t="s">
        <v>31</v>
      </c>
      <c r="C129" s="76"/>
      <c r="D129" s="76"/>
      <c r="E129" s="77"/>
      <c r="F129" s="78">
        <f>SUBTOTAL(9,F130:F137)</f>
        <v>7128</v>
      </c>
      <c r="G129" s="78">
        <f>SUBTOTAL(9,G130:G137)</f>
        <v>1350</v>
      </c>
    </row>
    <row r="130" spans="1:9" ht="37.5">
      <c r="A130" s="99" t="s">
        <v>133</v>
      </c>
      <c r="B130" s="66" t="s">
        <v>31</v>
      </c>
      <c r="C130" s="46" t="s">
        <v>8</v>
      </c>
      <c r="D130" s="46"/>
      <c r="E130" s="71"/>
      <c r="F130" s="69">
        <f>SUBTOTAL(9,F131:F132)</f>
        <v>787</v>
      </c>
      <c r="G130" s="69"/>
    </row>
    <row r="131" spans="1:9" ht="75">
      <c r="A131" s="107" t="s">
        <v>130</v>
      </c>
      <c r="B131" s="47" t="s">
        <v>31</v>
      </c>
      <c r="C131" s="6" t="s">
        <v>8</v>
      </c>
      <c r="D131" s="80" t="s">
        <v>124</v>
      </c>
      <c r="E131" s="49"/>
      <c r="F131" s="60">
        <f>SUBTOTAL(9,F132)</f>
        <v>787</v>
      </c>
      <c r="G131" s="60"/>
    </row>
    <row r="132" spans="1:9">
      <c r="A132" s="99" t="s">
        <v>123</v>
      </c>
      <c r="B132" s="52" t="s">
        <v>31</v>
      </c>
      <c r="C132" s="53" t="s">
        <v>8</v>
      </c>
      <c r="D132" s="80" t="s">
        <v>124</v>
      </c>
      <c r="E132" s="54" t="s">
        <v>87</v>
      </c>
      <c r="F132" s="61">
        <f>4303-2286-690-610+70</f>
        <v>787</v>
      </c>
      <c r="G132" s="45"/>
    </row>
    <row r="133" spans="1:9" ht="37.5">
      <c r="A133" s="85" t="s">
        <v>33</v>
      </c>
      <c r="B133" s="83" t="s">
        <v>31</v>
      </c>
      <c r="C133" s="6" t="s">
        <v>28</v>
      </c>
      <c r="D133" s="46"/>
      <c r="E133" s="49"/>
      <c r="F133" s="69">
        <f>SUBTOTAL(9,F134:F137)</f>
        <v>6341</v>
      </c>
      <c r="G133" s="69">
        <f>SUBTOTAL(9,G134:G137)</f>
        <v>1350</v>
      </c>
    </row>
    <row r="134" spans="1:9" ht="75">
      <c r="A134" s="107" t="s">
        <v>138</v>
      </c>
      <c r="B134" s="47" t="s">
        <v>31</v>
      </c>
      <c r="C134" s="6" t="s">
        <v>28</v>
      </c>
      <c r="D134" s="80" t="s">
        <v>106</v>
      </c>
      <c r="E134" s="49"/>
      <c r="F134" s="60">
        <f>SUBTOTAL(9,F135:F135)</f>
        <v>1986</v>
      </c>
      <c r="G134" s="60"/>
    </row>
    <row r="135" spans="1:9" ht="56.25">
      <c r="A135" s="72" t="s">
        <v>73</v>
      </c>
      <c r="B135" s="52" t="s">
        <v>31</v>
      </c>
      <c r="C135" s="53" t="s">
        <v>28</v>
      </c>
      <c r="D135" s="80" t="s">
        <v>106</v>
      </c>
      <c r="E135" s="54" t="s">
        <v>70</v>
      </c>
      <c r="F135" s="61">
        <f>650+614+298+220+204</f>
        <v>1986</v>
      </c>
      <c r="G135" s="45"/>
    </row>
    <row r="136" spans="1:9" ht="93.75">
      <c r="A136" s="107" t="s">
        <v>129</v>
      </c>
      <c r="B136" s="47" t="s">
        <v>31</v>
      </c>
      <c r="C136" s="6" t="s">
        <v>28</v>
      </c>
      <c r="D136" s="80" t="s">
        <v>102</v>
      </c>
      <c r="E136" s="49"/>
      <c r="F136" s="60">
        <f>SUBTOTAL(9,F137:F137)</f>
        <v>4355</v>
      </c>
      <c r="G136" s="60">
        <f>SUBTOTAL(9,G137:G137)</f>
        <v>1350</v>
      </c>
    </row>
    <row r="137" spans="1:9">
      <c r="A137" s="109" t="s">
        <v>89</v>
      </c>
      <c r="B137" s="52" t="s">
        <v>31</v>
      </c>
      <c r="C137" s="53" t="s">
        <v>28</v>
      </c>
      <c r="D137" s="80" t="s">
        <v>102</v>
      </c>
      <c r="E137" s="112" t="s">
        <v>16</v>
      </c>
      <c r="F137" s="110">
        <f>1280+1350+1141+584</f>
        <v>4355</v>
      </c>
      <c r="G137" s="111">
        <v>1350</v>
      </c>
    </row>
    <row r="138" spans="1:9">
      <c r="A138" s="74" t="s">
        <v>34</v>
      </c>
      <c r="B138" s="75" t="s">
        <v>17</v>
      </c>
      <c r="C138" s="76"/>
      <c r="D138" s="76"/>
      <c r="E138" s="77"/>
      <c r="F138" s="78">
        <f>SUBTOTAL(9,F139:F193)</f>
        <v>239006</v>
      </c>
      <c r="G138" s="78">
        <f>SUBTOTAL(9,G139:G193)</f>
        <v>39033</v>
      </c>
    </row>
    <row r="139" spans="1:9">
      <c r="A139" s="65" t="s">
        <v>35</v>
      </c>
      <c r="B139" s="66" t="s">
        <v>17</v>
      </c>
      <c r="C139" s="46" t="s">
        <v>7</v>
      </c>
      <c r="D139" s="46"/>
      <c r="E139" s="71"/>
      <c r="F139" s="69">
        <f>SUBTOTAL(9,F140:F151)</f>
        <v>53886</v>
      </c>
      <c r="G139" s="69">
        <f>SUBTOTAL(9,G140:G151)</f>
        <v>3711</v>
      </c>
    </row>
    <row r="140" spans="1:9" ht="131.44999999999999" customHeight="1">
      <c r="A140" s="135" t="s">
        <v>147</v>
      </c>
      <c r="B140" s="66" t="s">
        <v>17</v>
      </c>
      <c r="C140" s="46" t="s">
        <v>7</v>
      </c>
      <c r="D140" s="6" t="s">
        <v>134</v>
      </c>
      <c r="E140" s="71"/>
      <c r="F140" s="60">
        <f>SUBTOTAL(9,F141)</f>
        <v>158</v>
      </c>
      <c r="G140" s="57"/>
    </row>
    <row r="141" spans="1:9" ht="56.25">
      <c r="A141" s="44" t="s">
        <v>73</v>
      </c>
      <c r="B141" s="66" t="s">
        <v>17</v>
      </c>
      <c r="C141" s="46" t="s">
        <v>7</v>
      </c>
      <c r="D141" s="6" t="s">
        <v>134</v>
      </c>
      <c r="E141" s="49" t="s">
        <v>70</v>
      </c>
      <c r="F141" s="61">
        <v>158</v>
      </c>
      <c r="G141" s="45"/>
    </row>
    <row r="142" spans="1:9" ht="132.6" customHeight="1">
      <c r="A142" s="116" t="s">
        <v>159</v>
      </c>
      <c r="B142" s="47" t="s">
        <v>17</v>
      </c>
      <c r="C142" s="6" t="s">
        <v>7</v>
      </c>
      <c r="D142" s="6" t="s">
        <v>97</v>
      </c>
      <c r="E142" s="49"/>
      <c r="F142" s="60">
        <f>SUBTOTAL(9,F143:F144)</f>
        <v>33163</v>
      </c>
      <c r="G142" s="60"/>
      <c r="I142" s="87"/>
    </row>
    <row r="143" spans="1:9" ht="56.25">
      <c r="A143" s="44" t="s">
        <v>73</v>
      </c>
      <c r="B143" s="47" t="s">
        <v>17</v>
      </c>
      <c r="C143" s="6" t="s">
        <v>7</v>
      </c>
      <c r="D143" s="6" t="s">
        <v>97</v>
      </c>
      <c r="E143" s="49" t="s">
        <v>70</v>
      </c>
      <c r="F143" s="61">
        <f>28745-300+225+630+3350+113+300+100</f>
        <v>33163</v>
      </c>
      <c r="G143" s="61"/>
    </row>
    <row r="144" spans="1:9" ht="75" hidden="1">
      <c r="A144" s="44" t="s">
        <v>82</v>
      </c>
      <c r="B144" s="47" t="s">
        <v>17</v>
      </c>
      <c r="C144" s="6" t="s">
        <v>7</v>
      </c>
      <c r="D144" s="6" t="s">
        <v>97</v>
      </c>
      <c r="E144" s="49" t="s">
        <v>81</v>
      </c>
      <c r="F144" s="61">
        <f>15864-1625-14239</f>
        <v>0</v>
      </c>
      <c r="G144" s="45">
        <f>3164-3164</f>
        <v>0</v>
      </c>
    </row>
    <row r="145" spans="1:7" ht="93.75" hidden="1">
      <c r="A145" s="114" t="s">
        <v>127</v>
      </c>
      <c r="B145" s="47" t="s">
        <v>17</v>
      </c>
      <c r="C145" s="6" t="s">
        <v>7</v>
      </c>
      <c r="D145" s="6" t="s">
        <v>117</v>
      </c>
      <c r="E145" s="49"/>
      <c r="F145" s="60">
        <f>SUBTOTAL(9,F146)</f>
        <v>0</v>
      </c>
      <c r="G145" s="57"/>
    </row>
    <row r="146" spans="1:7" ht="56.25" hidden="1">
      <c r="A146" s="44" t="s">
        <v>73</v>
      </c>
      <c r="B146" s="47" t="s">
        <v>17</v>
      </c>
      <c r="C146" s="6" t="s">
        <v>7</v>
      </c>
      <c r="D146" s="6" t="s">
        <v>117</v>
      </c>
      <c r="E146" s="49" t="s">
        <v>70</v>
      </c>
      <c r="F146" s="61">
        <f>106-106</f>
        <v>0</v>
      </c>
      <c r="G146" s="45"/>
    </row>
    <row r="147" spans="1:7" ht="93.75">
      <c r="A147" s="107" t="s">
        <v>135</v>
      </c>
      <c r="B147" s="47" t="s">
        <v>17</v>
      </c>
      <c r="C147" s="6" t="s">
        <v>7</v>
      </c>
      <c r="D147" s="6" t="s">
        <v>107</v>
      </c>
      <c r="E147" s="49"/>
      <c r="F147" s="60">
        <f>SUBTOTAL(9,F148:F149)</f>
        <v>16854</v>
      </c>
      <c r="G147" s="57"/>
    </row>
    <row r="148" spans="1:7" ht="56.25">
      <c r="A148" s="44" t="s">
        <v>73</v>
      </c>
      <c r="B148" s="47" t="s">
        <v>17</v>
      </c>
      <c r="C148" s="6" t="s">
        <v>7</v>
      </c>
      <c r="D148" s="6" t="s">
        <v>107</v>
      </c>
      <c r="E148" s="49" t="s">
        <v>70</v>
      </c>
      <c r="F148" s="61">
        <f>300+2136+332+600+411</f>
        <v>3779</v>
      </c>
      <c r="G148" s="45"/>
    </row>
    <row r="149" spans="1:7" ht="75">
      <c r="A149" s="44" t="s">
        <v>82</v>
      </c>
      <c r="B149" s="47" t="s">
        <v>17</v>
      </c>
      <c r="C149" s="6" t="s">
        <v>7</v>
      </c>
      <c r="D149" s="6" t="s">
        <v>107</v>
      </c>
      <c r="E149" s="49" t="s">
        <v>81</v>
      </c>
      <c r="F149" s="61">
        <f>11075+2000</f>
        <v>13075</v>
      </c>
      <c r="G149" s="45"/>
    </row>
    <row r="150" spans="1:7" ht="37.5">
      <c r="A150" s="44" t="s">
        <v>94</v>
      </c>
      <c r="B150" s="47" t="s">
        <v>17</v>
      </c>
      <c r="C150" s="6" t="s">
        <v>7</v>
      </c>
      <c r="D150" s="6" t="s">
        <v>96</v>
      </c>
      <c r="E150" s="49"/>
      <c r="F150" s="60">
        <f>SUBTOTAL(9,F151)</f>
        <v>3711</v>
      </c>
      <c r="G150" s="60">
        <f>SUBTOTAL(9,G151)</f>
        <v>3711</v>
      </c>
    </row>
    <row r="151" spans="1:7" ht="81.599999999999994" customHeight="1">
      <c r="A151" s="44" t="s">
        <v>82</v>
      </c>
      <c r="B151" s="47" t="s">
        <v>17</v>
      </c>
      <c r="C151" s="6" t="s">
        <v>7</v>
      </c>
      <c r="D151" s="6" t="s">
        <v>96</v>
      </c>
      <c r="E151" s="49" t="s">
        <v>81</v>
      </c>
      <c r="F151" s="61">
        <f>3164+547</f>
        <v>3711</v>
      </c>
      <c r="G151" s="45">
        <f>3164+547</f>
        <v>3711</v>
      </c>
    </row>
    <row r="152" spans="1:7">
      <c r="A152" s="44" t="s">
        <v>36</v>
      </c>
      <c r="B152" s="47" t="s">
        <v>17</v>
      </c>
      <c r="C152" s="6" t="s">
        <v>8</v>
      </c>
      <c r="D152" s="6"/>
      <c r="E152" s="49"/>
      <c r="F152" s="60">
        <f>SUBTOTAL(9,F153:F162)</f>
        <v>80049</v>
      </c>
      <c r="G152" s="60"/>
    </row>
    <row r="153" spans="1:7" ht="130.9" customHeight="1">
      <c r="A153" s="135" t="s">
        <v>147</v>
      </c>
      <c r="B153" s="47" t="s">
        <v>17</v>
      </c>
      <c r="C153" s="83" t="s">
        <v>8</v>
      </c>
      <c r="D153" s="6" t="s">
        <v>134</v>
      </c>
      <c r="E153" s="49"/>
      <c r="F153" s="60">
        <f>SUBTOTAL(9,F154)</f>
        <v>1343</v>
      </c>
      <c r="G153" s="57"/>
    </row>
    <row r="154" spans="1:7" ht="56.25">
      <c r="A154" s="99" t="s">
        <v>73</v>
      </c>
      <c r="B154" s="139" t="s">
        <v>17</v>
      </c>
      <c r="C154" s="6" t="s">
        <v>8</v>
      </c>
      <c r="D154" s="6" t="s">
        <v>134</v>
      </c>
      <c r="E154" s="49" t="s">
        <v>70</v>
      </c>
      <c r="F154" s="61">
        <f>143+1200</f>
        <v>1343</v>
      </c>
      <c r="G154" s="61"/>
    </row>
    <row r="155" spans="1:7" ht="130.15" customHeight="1">
      <c r="A155" s="116" t="s">
        <v>159</v>
      </c>
      <c r="B155" s="47" t="s">
        <v>17</v>
      </c>
      <c r="C155" s="6" t="s">
        <v>8</v>
      </c>
      <c r="D155" s="6" t="s">
        <v>97</v>
      </c>
      <c r="E155" s="49"/>
      <c r="F155" s="60">
        <f>SUBTOTAL(9,F156)</f>
        <v>71139</v>
      </c>
      <c r="G155" s="57"/>
    </row>
    <row r="156" spans="1:7" ht="56.25">
      <c r="A156" s="99" t="s">
        <v>73</v>
      </c>
      <c r="B156" s="47" t="s">
        <v>17</v>
      </c>
      <c r="C156" s="6" t="s">
        <v>8</v>
      </c>
      <c r="D156" s="6" t="s">
        <v>97</v>
      </c>
      <c r="E156" s="49" t="s">
        <v>70</v>
      </c>
      <c r="F156" s="61">
        <f>59030-400+704-62+230-24+11507+154</f>
        <v>71139</v>
      </c>
      <c r="G156" s="61"/>
    </row>
    <row r="157" spans="1:7" ht="93.75" hidden="1">
      <c r="A157" s="114" t="s">
        <v>127</v>
      </c>
      <c r="B157" s="47" t="s">
        <v>17</v>
      </c>
      <c r="C157" s="6" t="s">
        <v>8</v>
      </c>
      <c r="D157" s="6" t="s">
        <v>117</v>
      </c>
      <c r="E157" s="49"/>
      <c r="F157" s="60">
        <f>SUBTOTAL(9,F158)</f>
        <v>0</v>
      </c>
      <c r="G157" s="57"/>
    </row>
    <row r="158" spans="1:7" ht="56.25" hidden="1">
      <c r="A158" s="44" t="s">
        <v>73</v>
      </c>
      <c r="B158" s="47" t="s">
        <v>17</v>
      </c>
      <c r="C158" s="6" t="s">
        <v>8</v>
      </c>
      <c r="D158" s="6" t="s">
        <v>117</v>
      </c>
      <c r="E158" s="49" t="s">
        <v>70</v>
      </c>
      <c r="F158" s="61">
        <f>106-106</f>
        <v>0</v>
      </c>
      <c r="G158" s="45"/>
    </row>
    <row r="159" spans="1:7" ht="93.75">
      <c r="A159" s="107" t="s">
        <v>135</v>
      </c>
      <c r="B159" s="47" t="s">
        <v>17</v>
      </c>
      <c r="C159" s="6" t="s">
        <v>8</v>
      </c>
      <c r="D159" s="6" t="s">
        <v>107</v>
      </c>
      <c r="E159" s="49"/>
      <c r="F159" s="60">
        <f>SUBTOTAL(9,F160)</f>
        <v>7567</v>
      </c>
      <c r="G159" s="60"/>
    </row>
    <row r="160" spans="1:7" ht="56.25">
      <c r="A160" s="99" t="s">
        <v>73</v>
      </c>
      <c r="B160" s="47" t="s">
        <v>17</v>
      </c>
      <c r="C160" s="6" t="s">
        <v>8</v>
      </c>
      <c r="D160" s="6" t="s">
        <v>107</v>
      </c>
      <c r="E160" s="49" t="s">
        <v>70</v>
      </c>
      <c r="F160" s="61">
        <f>3250+6000-600-301-332+150-600</f>
        <v>7567</v>
      </c>
      <c r="G160" s="45"/>
    </row>
    <row r="161" spans="1:7" ht="112.5" hidden="1">
      <c r="A161" s="99" t="s">
        <v>152</v>
      </c>
      <c r="B161" s="47" t="s">
        <v>17</v>
      </c>
      <c r="C161" s="6" t="s">
        <v>8</v>
      </c>
      <c r="D161" s="6" t="s">
        <v>125</v>
      </c>
      <c r="E161" s="49"/>
      <c r="F161" s="60">
        <f>SUBTOTAL(9,F162)</f>
        <v>0</v>
      </c>
      <c r="G161" s="60"/>
    </row>
    <row r="162" spans="1:7" ht="56.25" hidden="1">
      <c r="A162" s="99" t="s">
        <v>73</v>
      </c>
      <c r="B162" s="47" t="s">
        <v>17</v>
      </c>
      <c r="C162" s="6" t="s">
        <v>8</v>
      </c>
      <c r="D162" s="6" t="s">
        <v>125</v>
      </c>
      <c r="E162" s="49" t="s">
        <v>70</v>
      </c>
      <c r="F162" s="61">
        <f>89-89</f>
        <v>0</v>
      </c>
      <c r="G162" s="45"/>
    </row>
    <row r="163" spans="1:7">
      <c r="A163" s="101" t="s">
        <v>119</v>
      </c>
      <c r="B163" s="83" t="s">
        <v>17</v>
      </c>
      <c r="C163" s="81" t="s">
        <v>9</v>
      </c>
      <c r="D163" s="80"/>
      <c r="E163" s="82"/>
      <c r="F163" s="60">
        <f>SUBTOTAL(9,F164:F172)</f>
        <v>49934</v>
      </c>
      <c r="G163" s="60"/>
    </row>
    <row r="164" spans="1:7" ht="132" customHeight="1">
      <c r="A164" s="116" t="s">
        <v>159</v>
      </c>
      <c r="B164" s="47" t="s">
        <v>17</v>
      </c>
      <c r="C164" s="81" t="s">
        <v>9</v>
      </c>
      <c r="D164" s="80" t="s">
        <v>97</v>
      </c>
      <c r="E164" s="82"/>
      <c r="F164" s="60">
        <f>SUBTOTAL(9,F165)</f>
        <v>1866</v>
      </c>
      <c r="G164" s="60"/>
    </row>
    <row r="165" spans="1:7" ht="56.25">
      <c r="A165" s="85" t="s">
        <v>73</v>
      </c>
      <c r="B165" s="83" t="s">
        <v>17</v>
      </c>
      <c r="C165" s="81" t="s">
        <v>9</v>
      </c>
      <c r="D165" s="102" t="s">
        <v>97</v>
      </c>
      <c r="E165" s="82" t="s">
        <v>70</v>
      </c>
      <c r="F165" s="61">
        <f>1465-130+62+24+400+45</f>
        <v>1866</v>
      </c>
      <c r="G165" s="61"/>
    </row>
    <row r="166" spans="1:7" ht="56.25">
      <c r="A166" s="107" t="s">
        <v>163</v>
      </c>
      <c r="B166" s="83" t="s">
        <v>17</v>
      </c>
      <c r="C166" s="81" t="s">
        <v>9</v>
      </c>
      <c r="D166" s="80" t="s">
        <v>108</v>
      </c>
      <c r="E166" s="49"/>
      <c r="F166" s="60">
        <f>SUBTOTAL(9,F167:F168)</f>
        <v>47928</v>
      </c>
      <c r="G166" s="60"/>
    </row>
    <row r="167" spans="1:7" ht="56.25">
      <c r="A167" s="85" t="s">
        <v>73</v>
      </c>
      <c r="B167" s="83" t="s">
        <v>17</v>
      </c>
      <c r="C167" s="81" t="s">
        <v>9</v>
      </c>
      <c r="D167" s="102" t="s">
        <v>108</v>
      </c>
      <c r="E167" s="49" t="s">
        <v>70</v>
      </c>
      <c r="F167" s="61">
        <f>135+150</f>
        <v>285</v>
      </c>
      <c r="G167" s="61"/>
    </row>
    <row r="168" spans="1:7">
      <c r="A168" s="101" t="s">
        <v>89</v>
      </c>
      <c r="B168" s="83" t="s">
        <v>17</v>
      </c>
      <c r="C168" s="81" t="s">
        <v>9</v>
      </c>
      <c r="D168" s="80" t="s">
        <v>108</v>
      </c>
      <c r="E168" s="128" t="s">
        <v>16</v>
      </c>
      <c r="F168" s="61">
        <f>44148+347+1065+1684+99+300</f>
        <v>47643</v>
      </c>
      <c r="G168" s="61"/>
    </row>
    <row r="169" spans="1:7" ht="112.5">
      <c r="A169" s="99" t="s">
        <v>152</v>
      </c>
      <c r="B169" s="47" t="s">
        <v>17</v>
      </c>
      <c r="C169" s="81" t="s">
        <v>9</v>
      </c>
      <c r="D169" s="80" t="s">
        <v>125</v>
      </c>
      <c r="E169" s="128"/>
      <c r="F169" s="60">
        <f>SUBTOTAL(9,F170)</f>
        <v>132</v>
      </c>
      <c r="G169" s="60"/>
    </row>
    <row r="170" spans="1:7">
      <c r="A170" s="101" t="s">
        <v>89</v>
      </c>
      <c r="B170" s="83" t="s">
        <v>17</v>
      </c>
      <c r="C170" s="81" t="s">
        <v>9</v>
      </c>
      <c r="D170" s="80" t="s">
        <v>125</v>
      </c>
      <c r="E170" s="128" t="s">
        <v>16</v>
      </c>
      <c r="F170" s="61">
        <v>132</v>
      </c>
      <c r="G170" s="61"/>
    </row>
    <row r="171" spans="1:7" ht="75">
      <c r="A171" s="99" t="s">
        <v>149</v>
      </c>
      <c r="B171" s="47" t="s">
        <v>17</v>
      </c>
      <c r="C171" s="81" t="s">
        <v>9</v>
      </c>
      <c r="D171" s="80" t="s">
        <v>132</v>
      </c>
      <c r="E171" s="128"/>
      <c r="F171" s="60">
        <f>SUBTOTAL(9,F172)</f>
        <v>8</v>
      </c>
      <c r="G171" s="60"/>
    </row>
    <row r="172" spans="1:7">
      <c r="A172" s="99" t="s">
        <v>89</v>
      </c>
      <c r="B172" s="47" t="s">
        <v>17</v>
      </c>
      <c r="C172" s="81" t="s">
        <v>9</v>
      </c>
      <c r="D172" s="80" t="s">
        <v>132</v>
      </c>
      <c r="E172" s="128" t="s">
        <v>16</v>
      </c>
      <c r="F172" s="61">
        <v>8</v>
      </c>
      <c r="G172" s="61"/>
    </row>
    <row r="173" spans="1:7" ht="37.5">
      <c r="A173" s="99" t="s">
        <v>37</v>
      </c>
      <c r="B173" s="47" t="s">
        <v>17</v>
      </c>
      <c r="C173" s="6" t="s">
        <v>17</v>
      </c>
      <c r="D173" s="6"/>
      <c r="E173" s="49"/>
      <c r="F173" s="60">
        <f>SUBTOTAL(9,F174:F188)</f>
        <v>6804</v>
      </c>
      <c r="G173" s="60">
        <f>SUBTOTAL(9,G174:G188)</f>
        <v>1202</v>
      </c>
    </row>
    <row r="174" spans="1:7" ht="78.599999999999994" customHeight="1">
      <c r="A174" s="99" t="s">
        <v>154</v>
      </c>
      <c r="B174" s="47" t="s">
        <v>17</v>
      </c>
      <c r="C174" s="6" t="s">
        <v>17</v>
      </c>
      <c r="D174" s="80" t="s">
        <v>101</v>
      </c>
      <c r="E174" s="82"/>
      <c r="F174" s="60">
        <f>SUBTOTAL(9,F175)</f>
        <v>30</v>
      </c>
      <c r="G174" s="60"/>
    </row>
    <row r="175" spans="1:7">
      <c r="A175" s="99" t="s">
        <v>89</v>
      </c>
      <c r="B175" s="47" t="s">
        <v>17</v>
      </c>
      <c r="C175" s="6" t="s">
        <v>17</v>
      </c>
      <c r="D175" s="80" t="s">
        <v>101</v>
      </c>
      <c r="E175" s="82" t="s">
        <v>16</v>
      </c>
      <c r="F175" s="61">
        <v>30</v>
      </c>
      <c r="G175" s="61"/>
    </row>
    <row r="176" spans="1:7" ht="131.25">
      <c r="A176" s="108" t="s">
        <v>156</v>
      </c>
      <c r="B176" s="47" t="s">
        <v>17</v>
      </c>
      <c r="C176" s="6" t="s">
        <v>17</v>
      </c>
      <c r="D176" s="6" t="s">
        <v>103</v>
      </c>
      <c r="E176" s="49"/>
      <c r="F176" s="60">
        <f>SUBTOTAL(9,F177:F177)</f>
        <v>15</v>
      </c>
      <c r="G176" s="60"/>
    </row>
    <row r="177" spans="1:7">
      <c r="A177" s="48" t="s">
        <v>89</v>
      </c>
      <c r="B177" s="47" t="s">
        <v>17</v>
      </c>
      <c r="C177" s="6" t="s">
        <v>17</v>
      </c>
      <c r="D177" s="46" t="s">
        <v>103</v>
      </c>
      <c r="E177" s="49" t="s">
        <v>16</v>
      </c>
      <c r="F177" s="61">
        <v>15</v>
      </c>
      <c r="G177" s="45"/>
    </row>
    <row r="178" spans="1:7" ht="73.900000000000006" customHeight="1">
      <c r="A178" s="137" t="s">
        <v>157</v>
      </c>
      <c r="B178" s="47" t="s">
        <v>17</v>
      </c>
      <c r="C178" s="6" t="s">
        <v>17</v>
      </c>
      <c r="D178" s="46" t="s">
        <v>143</v>
      </c>
      <c r="E178" s="49"/>
      <c r="F178" s="62">
        <f>SUBTOTAL(9,F179:F180)</f>
        <v>35</v>
      </c>
      <c r="G178" s="58"/>
    </row>
    <row r="179" spans="1:7" ht="56.25">
      <c r="A179" s="48" t="s">
        <v>73</v>
      </c>
      <c r="B179" s="47" t="s">
        <v>17</v>
      </c>
      <c r="C179" s="6" t="s">
        <v>17</v>
      </c>
      <c r="D179" s="46" t="s">
        <v>143</v>
      </c>
      <c r="E179" s="49" t="s">
        <v>70</v>
      </c>
      <c r="F179" s="61">
        <v>20</v>
      </c>
      <c r="G179" s="45"/>
    </row>
    <row r="180" spans="1:7">
      <c r="A180" s="99" t="s">
        <v>89</v>
      </c>
      <c r="B180" s="47" t="s">
        <v>17</v>
      </c>
      <c r="C180" s="6" t="s">
        <v>17</v>
      </c>
      <c r="D180" s="46" t="s">
        <v>143</v>
      </c>
      <c r="E180" s="49" t="s">
        <v>16</v>
      </c>
      <c r="F180" s="61">
        <v>15</v>
      </c>
      <c r="G180" s="45"/>
    </row>
    <row r="181" spans="1:7" ht="75">
      <c r="A181" s="107" t="s">
        <v>138</v>
      </c>
      <c r="B181" s="47" t="s">
        <v>17</v>
      </c>
      <c r="C181" s="6" t="s">
        <v>17</v>
      </c>
      <c r="D181" s="80" t="s">
        <v>106</v>
      </c>
      <c r="E181" s="49"/>
      <c r="F181" s="62">
        <f>SUBTOTAL(9,F182)</f>
        <v>20</v>
      </c>
      <c r="G181" s="58"/>
    </row>
    <row r="182" spans="1:7">
      <c r="A182" s="99" t="s">
        <v>89</v>
      </c>
      <c r="B182" s="47" t="s">
        <v>17</v>
      </c>
      <c r="C182" s="6" t="s">
        <v>17</v>
      </c>
      <c r="D182" s="80" t="s">
        <v>106</v>
      </c>
      <c r="E182" s="49" t="s">
        <v>16</v>
      </c>
      <c r="F182" s="61">
        <v>20</v>
      </c>
      <c r="G182" s="45"/>
    </row>
    <row r="183" spans="1:7" ht="56.25">
      <c r="A183" s="107" t="s">
        <v>150</v>
      </c>
      <c r="B183" s="47" t="s">
        <v>17</v>
      </c>
      <c r="C183" s="6" t="s">
        <v>17</v>
      </c>
      <c r="D183" s="6" t="s">
        <v>109</v>
      </c>
      <c r="E183" s="49"/>
      <c r="F183" s="60">
        <f>SUBTOTAL(9,F184:F184)</f>
        <v>53</v>
      </c>
      <c r="G183" s="57"/>
    </row>
    <row r="184" spans="1:7">
      <c r="A184" s="99" t="s">
        <v>89</v>
      </c>
      <c r="B184" s="47" t="s">
        <v>17</v>
      </c>
      <c r="C184" s="6" t="s">
        <v>17</v>
      </c>
      <c r="D184" s="6" t="s">
        <v>109</v>
      </c>
      <c r="E184" s="49" t="s">
        <v>16</v>
      </c>
      <c r="F184" s="61">
        <v>53</v>
      </c>
      <c r="G184" s="45"/>
    </row>
    <row r="185" spans="1:7" ht="75">
      <c r="A185" s="107" t="s">
        <v>160</v>
      </c>
      <c r="B185" s="47" t="s">
        <v>17</v>
      </c>
      <c r="C185" s="6" t="s">
        <v>17</v>
      </c>
      <c r="D185" s="80" t="s">
        <v>110</v>
      </c>
      <c r="E185" s="49"/>
      <c r="F185" s="60">
        <f>SUBTOTAL(9,F186:F186)</f>
        <v>6551</v>
      </c>
      <c r="G185" s="60">
        <f>SUBTOTAL(9,G186:G186)</f>
        <v>1202</v>
      </c>
    </row>
    <row r="186" spans="1:7">
      <c r="A186" s="99" t="s">
        <v>89</v>
      </c>
      <c r="B186" s="47" t="s">
        <v>17</v>
      </c>
      <c r="C186" s="6" t="s">
        <v>17</v>
      </c>
      <c r="D186" s="80" t="s">
        <v>110</v>
      </c>
      <c r="E186" s="49" t="s">
        <v>16</v>
      </c>
      <c r="F186" s="61">
        <f>6174+59-50+200+100+18+50</f>
        <v>6551</v>
      </c>
      <c r="G186" s="45">
        <f>943+59+200</f>
        <v>1202</v>
      </c>
    </row>
    <row r="187" spans="1:7" ht="97.15" customHeight="1">
      <c r="A187" s="107" t="s">
        <v>164</v>
      </c>
      <c r="B187" s="47" t="s">
        <v>17</v>
      </c>
      <c r="C187" s="6" t="s">
        <v>17</v>
      </c>
      <c r="D187" s="80" t="s">
        <v>111</v>
      </c>
      <c r="E187" s="49"/>
      <c r="F187" s="60">
        <f>SUBTOTAL(9,F188:F188)</f>
        <v>100</v>
      </c>
      <c r="G187" s="57"/>
    </row>
    <row r="188" spans="1:7">
      <c r="A188" s="48" t="s">
        <v>89</v>
      </c>
      <c r="B188" s="47" t="s">
        <v>17</v>
      </c>
      <c r="C188" s="6" t="s">
        <v>17</v>
      </c>
      <c r="D188" s="80" t="s">
        <v>111</v>
      </c>
      <c r="E188" s="49" t="s">
        <v>16</v>
      </c>
      <c r="F188" s="61">
        <f>250-150</f>
        <v>100</v>
      </c>
      <c r="G188" s="45"/>
    </row>
    <row r="189" spans="1:7">
      <c r="A189" s="44" t="s">
        <v>38</v>
      </c>
      <c r="B189" s="47" t="s">
        <v>17</v>
      </c>
      <c r="C189" s="6" t="s">
        <v>24</v>
      </c>
      <c r="D189" s="6"/>
      <c r="E189" s="49"/>
      <c r="F189" s="60">
        <f>SUBTOTAL(9,F190:F193)</f>
        <v>48333</v>
      </c>
      <c r="G189" s="60">
        <f>SUBTOTAL(9,G190:G193)</f>
        <v>34120</v>
      </c>
    </row>
    <row r="190" spans="1:7" ht="112.5">
      <c r="A190" s="108" t="s">
        <v>155</v>
      </c>
      <c r="B190" s="47" t="s">
        <v>17</v>
      </c>
      <c r="C190" s="6" t="s">
        <v>24</v>
      </c>
      <c r="D190" s="6" t="s">
        <v>113</v>
      </c>
      <c r="E190" s="82"/>
      <c r="F190" s="60">
        <f>SUBTOTAL(9,F191:F192)</f>
        <v>3556</v>
      </c>
      <c r="G190" s="60">
        <f>SUBTOTAL(9,G191:G192)</f>
        <v>3456</v>
      </c>
    </row>
    <row r="191" spans="1:7" ht="56.25">
      <c r="A191" s="48" t="s">
        <v>73</v>
      </c>
      <c r="B191" s="47" t="s">
        <v>17</v>
      </c>
      <c r="C191" s="6" t="s">
        <v>24</v>
      </c>
      <c r="D191" s="46" t="s">
        <v>113</v>
      </c>
      <c r="E191" s="82" t="s">
        <v>70</v>
      </c>
      <c r="F191" s="61">
        <f>3525+31</f>
        <v>3556</v>
      </c>
      <c r="G191" s="45">
        <f>3425+31</f>
        <v>3456</v>
      </c>
    </row>
    <row r="192" spans="1:7" ht="93.75">
      <c r="A192" s="107" t="s">
        <v>135</v>
      </c>
      <c r="B192" s="47" t="s">
        <v>17</v>
      </c>
      <c r="C192" s="6" t="s">
        <v>24</v>
      </c>
      <c r="D192" s="6" t="s">
        <v>107</v>
      </c>
      <c r="E192" s="49"/>
      <c r="F192" s="60">
        <f>SUBTOTAL(9,F193:F193)</f>
        <v>44777</v>
      </c>
      <c r="G192" s="60">
        <f>SUBTOTAL(9,G193:G193)</f>
        <v>30664</v>
      </c>
    </row>
    <row r="193" spans="1:7" ht="56.25">
      <c r="A193" s="44" t="s">
        <v>73</v>
      </c>
      <c r="B193" s="47" t="s">
        <v>17</v>
      </c>
      <c r="C193" s="6" t="s">
        <v>24</v>
      </c>
      <c r="D193" s="6" t="s">
        <v>107</v>
      </c>
      <c r="E193" s="49" t="s">
        <v>70</v>
      </c>
      <c r="F193" s="61">
        <f>21206+12733+690+3120+3067+3115+51+600-25+220</f>
        <v>44777</v>
      </c>
      <c r="G193" s="45">
        <f>17246+10868+2550</f>
        <v>30664</v>
      </c>
    </row>
    <row r="194" spans="1:7">
      <c r="A194" s="74" t="s">
        <v>62</v>
      </c>
      <c r="B194" s="75" t="s">
        <v>25</v>
      </c>
      <c r="C194" s="76"/>
      <c r="D194" s="76"/>
      <c r="E194" s="77"/>
      <c r="F194" s="78">
        <f>SUBTOTAL(9,F195:F215)</f>
        <v>104993</v>
      </c>
      <c r="G194" s="78">
        <f>SUBTOTAL(9,G195:G215)</f>
        <v>2243</v>
      </c>
    </row>
    <row r="195" spans="1:7">
      <c r="A195" s="73" t="s">
        <v>42</v>
      </c>
      <c r="B195" s="66" t="s">
        <v>25</v>
      </c>
      <c r="C195" s="46" t="s">
        <v>7</v>
      </c>
      <c r="D195" s="46"/>
      <c r="E195" s="71"/>
      <c r="F195" s="69">
        <f>SUBTOTAL(9,F196:F206)</f>
        <v>88124</v>
      </c>
      <c r="G195" s="69">
        <f>SUBTOTAL(9,G196:G206)</f>
        <v>2243</v>
      </c>
    </row>
    <row r="196" spans="1:7" ht="75">
      <c r="A196" s="107" t="s">
        <v>138</v>
      </c>
      <c r="B196" s="47" t="s">
        <v>25</v>
      </c>
      <c r="C196" s="6" t="s">
        <v>7</v>
      </c>
      <c r="D196" s="80" t="s">
        <v>106</v>
      </c>
      <c r="E196" s="49"/>
      <c r="F196" s="62">
        <f>SUBTOTAL(9,F197:F198)</f>
        <v>30</v>
      </c>
      <c r="G196" s="58"/>
    </row>
    <row r="197" spans="1:7">
      <c r="A197" s="99" t="s">
        <v>89</v>
      </c>
      <c r="B197" s="47" t="s">
        <v>25</v>
      </c>
      <c r="C197" s="6" t="s">
        <v>7</v>
      </c>
      <c r="D197" s="80" t="s">
        <v>106</v>
      </c>
      <c r="E197" s="49" t="s">
        <v>16</v>
      </c>
      <c r="F197" s="61">
        <v>15</v>
      </c>
      <c r="G197" s="45"/>
    </row>
    <row r="198" spans="1:7">
      <c r="A198" s="99" t="s">
        <v>91</v>
      </c>
      <c r="B198" s="47" t="s">
        <v>25</v>
      </c>
      <c r="C198" s="6" t="s">
        <v>7</v>
      </c>
      <c r="D198" s="80" t="s">
        <v>106</v>
      </c>
      <c r="E198" s="49" t="s">
        <v>90</v>
      </c>
      <c r="F198" s="61">
        <v>15</v>
      </c>
      <c r="G198" s="45"/>
    </row>
    <row r="199" spans="1:7" ht="56.25">
      <c r="A199" s="107" t="s">
        <v>163</v>
      </c>
      <c r="B199" s="47" t="s">
        <v>25</v>
      </c>
      <c r="C199" s="6" t="s">
        <v>7</v>
      </c>
      <c r="D199" s="80" t="s">
        <v>108</v>
      </c>
      <c r="E199" s="49"/>
      <c r="F199" s="60">
        <f>SUBTOTAL(9,F200:F201)</f>
        <v>88037</v>
      </c>
      <c r="G199" s="60">
        <f>SUBTOTAL(9,G200:G201)</f>
        <v>2243</v>
      </c>
    </row>
    <row r="200" spans="1:7">
      <c r="A200" s="48" t="s">
        <v>89</v>
      </c>
      <c r="B200" s="47" t="s">
        <v>25</v>
      </c>
      <c r="C200" s="6" t="s">
        <v>7</v>
      </c>
      <c r="D200" s="80" t="s">
        <v>108</v>
      </c>
      <c r="E200" s="49" t="s">
        <v>16</v>
      </c>
      <c r="F200" s="61">
        <f>34242+200-88+177+415-65+72+911+35</f>
        <v>35899</v>
      </c>
      <c r="G200" s="61">
        <f>152+200</f>
        <v>352</v>
      </c>
    </row>
    <row r="201" spans="1:7">
      <c r="A201" s="44" t="s">
        <v>91</v>
      </c>
      <c r="B201" s="47" t="s">
        <v>25</v>
      </c>
      <c r="C201" s="6" t="s">
        <v>7</v>
      </c>
      <c r="D201" s="80" t="s">
        <v>108</v>
      </c>
      <c r="E201" s="49" t="s">
        <v>90</v>
      </c>
      <c r="F201" s="61">
        <f>42175+222-259+627+4847+1200+265+340+153+1554-1+1015</f>
        <v>52138</v>
      </c>
      <c r="G201" s="61">
        <v>1891</v>
      </c>
    </row>
    <row r="202" spans="1:7" ht="112.5">
      <c r="A202" s="101" t="s">
        <v>152</v>
      </c>
      <c r="B202" s="83" t="s">
        <v>25</v>
      </c>
      <c r="C202" s="81" t="s">
        <v>7</v>
      </c>
      <c r="D202" s="80" t="s">
        <v>125</v>
      </c>
      <c r="E202" s="82"/>
      <c r="F202" s="60">
        <f>SUBTOTAL(9,F203:F203)</f>
        <v>45</v>
      </c>
      <c r="G202" s="60"/>
    </row>
    <row r="203" spans="1:7">
      <c r="A203" s="101" t="s">
        <v>89</v>
      </c>
      <c r="B203" s="83" t="s">
        <v>25</v>
      </c>
      <c r="C203" s="81" t="s">
        <v>7</v>
      </c>
      <c r="D203" s="80" t="s">
        <v>125</v>
      </c>
      <c r="E203" s="82" t="s">
        <v>16</v>
      </c>
      <c r="F203" s="61">
        <v>45</v>
      </c>
      <c r="G203" s="45"/>
    </row>
    <row r="204" spans="1:7" ht="75">
      <c r="A204" s="101" t="s">
        <v>149</v>
      </c>
      <c r="B204" s="83" t="s">
        <v>25</v>
      </c>
      <c r="C204" s="81" t="s">
        <v>7</v>
      </c>
      <c r="D204" s="80" t="s">
        <v>132</v>
      </c>
      <c r="E204" s="82"/>
      <c r="F204" s="60">
        <f>SUBTOTAL(9,F205:F206)</f>
        <v>12</v>
      </c>
      <c r="G204" s="60"/>
    </row>
    <row r="205" spans="1:7">
      <c r="A205" s="101" t="s">
        <v>89</v>
      </c>
      <c r="B205" s="83" t="s">
        <v>25</v>
      </c>
      <c r="C205" s="81" t="s">
        <v>7</v>
      </c>
      <c r="D205" s="80" t="s">
        <v>132</v>
      </c>
      <c r="E205" s="82" t="s">
        <v>16</v>
      </c>
      <c r="F205" s="61">
        <v>5</v>
      </c>
      <c r="G205" s="61"/>
    </row>
    <row r="206" spans="1:7">
      <c r="A206" s="101" t="s">
        <v>91</v>
      </c>
      <c r="B206" s="83" t="s">
        <v>25</v>
      </c>
      <c r="C206" s="81" t="s">
        <v>7</v>
      </c>
      <c r="D206" s="80" t="s">
        <v>132</v>
      </c>
      <c r="E206" s="82" t="s">
        <v>90</v>
      </c>
      <c r="F206" s="61">
        <v>7</v>
      </c>
      <c r="G206" s="61"/>
    </row>
    <row r="207" spans="1:7" ht="37.5">
      <c r="A207" s="48" t="s">
        <v>63</v>
      </c>
      <c r="B207" s="47" t="s">
        <v>25</v>
      </c>
      <c r="C207" s="6" t="s">
        <v>12</v>
      </c>
      <c r="D207" s="6"/>
      <c r="E207" s="49"/>
      <c r="F207" s="60">
        <f>SUBTOTAL(9,F208:F215)</f>
        <v>16869</v>
      </c>
      <c r="G207" s="60"/>
    </row>
    <row r="208" spans="1:7" ht="75">
      <c r="A208" s="113" t="s">
        <v>140</v>
      </c>
      <c r="B208" s="47" t="s">
        <v>25</v>
      </c>
      <c r="C208" s="81" t="s">
        <v>12</v>
      </c>
      <c r="D208" s="80" t="s">
        <v>99</v>
      </c>
      <c r="E208" s="82"/>
      <c r="F208" s="60">
        <f>SUBTOTAL(9,F209:F209)</f>
        <v>39</v>
      </c>
      <c r="G208" s="60"/>
    </row>
    <row r="209" spans="1:7" ht="56.25">
      <c r="A209" s="101" t="s">
        <v>73</v>
      </c>
      <c r="B209" s="83" t="s">
        <v>25</v>
      </c>
      <c r="C209" s="81" t="s">
        <v>12</v>
      </c>
      <c r="D209" s="80" t="s">
        <v>99</v>
      </c>
      <c r="E209" s="82" t="s">
        <v>70</v>
      </c>
      <c r="F209" s="61">
        <f>45-6</f>
        <v>39</v>
      </c>
      <c r="G209" s="45"/>
    </row>
    <row r="210" spans="1:7" ht="56.25">
      <c r="A210" s="107" t="s">
        <v>163</v>
      </c>
      <c r="B210" s="47" t="s">
        <v>25</v>
      </c>
      <c r="C210" s="6" t="s">
        <v>12</v>
      </c>
      <c r="D210" s="80" t="s">
        <v>108</v>
      </c>
      <c r="E210" s="49"/>
      <c r="F210" s="60">
        <f>SUBTOTAL(9,F211:F212)</f>
        <v>9603</v>
      </c>
      <c r="G210" s="60"/>
    </row>
    <row r="211" spans="1:7" ht="37.5">
      <c r="A211" s="48" t="s">
        <v>85</v>
      </c>
      <c r="B211" s="47" t="s">
        <v>25</v>
      </c>
      <c r="C211" s="6" t="s">
        <v>12</v>
      </c>
      <c r="D211" s="80" t="s">
        <v>108</v>
      </c>
      <c r="E211" s="49" t="s">
        <v>77</v>
      </c>
      <c r="F211" s="61">
        <f>8445-222</f>
        <v>8223</v>
      </c>
      <c r="G211" s="45"/>
    </row>
    <row r="212" spans="1:7" ht="56.25">
      <c r="A212" s="44" t="s">
        <v>73</v>
      </c>
      <c r="B212" s="47" t="s">
        <v>25</v>
      </c>
      <c r="C212" s="6" t="s">
        <v>12</v>
      </c>
      <c r="D212" s="80" t="s">
        <v>108</v>
      </c>
      <c r="E212" s="49" t="s">
        <v>70</v>
      </c>
      <c r="F212" s="61">
        <v>1380</v>
      </c>
      <c r="G212" s="45"/>
    </row>
    <row r="213" spans="1:7" ht="37.5">
      <c r="A213" s="44" t="s">
        <v>94</v>
      </c>
      <c r="B213" s="47" t="s">
        <v>25</v>
      </c>
      <c r="C213" s="6" t="s">
        <v>12</v>
      </c>
      <c r="D213" s="80" t="s">
        <v>96</v>
      </c>
      <c r="E213" s="49"/>
      <c r="F213" s="60">
        <f>SUBTOTAL(9,F214:F215)</f>
        <v>7227</v>
      </c>
      <c r="G213" s="60"/>
    </row>
    <row r="214" spans="1:7" ht="56.25">
      <c r="A214" s="44" t="s">
        <v>72</v>
      </c>
      <c r="B214" s="47" t="s">
        <v>25</v>
      </c>
      <c r="C214" s="6" t="s">
        <v>12</v>
      </c>
      <c r="D214" s="80" t="s">
        <v>96</v>
      </c>
      <c r="E214" s="49" t="s">
        <v>69</v>
      </c>
      <c r="F214" s="61">
        <f>6643+80+182</f>
        <v>6905</v>
      </c>
      <c r="G214" s="45"/>
    </row>
    <row r="215" spans="1:7" ht="56.25">
      <c r="A215" s="44" t="s">
        <v>73</v>
      </c>
      <c r="B215" s="47" t="s">
        <v>25</v>
      </c>
      <c r="C215" s="6" t="s">
        <v>12</v>
      </c>
      <c r="D215" s="80" t="s">
        <v>96</v>
      </c>
      <c r="E215" s="49" t="s">
        <v>70</v>
      </c>
      <c r="F215" s="61">
        <f>500-80-98</f>
        <v>322</v>
      </c>
      <c r="G215" s="45"/>
    </row>
    <row r="216" spans="1:7">
      <c r="A216" s="74" t="s">
        <v>40</v>
      </c>
      <c r="B216" s="75" t="s">
        <v>39</v>
      </c>
      <c r="C216" s="76"/>
      <c r="D216" s="76"/>
      <c r="E216" s="77"/>
      <c r="F216" s="78">
        <f>SUBTOTAL(9,F217:F247)</f>
        <v>70603</v>
      </c>
      <c r="G216" s="78">
        <f>SUBTOTAL(9,G217:G247)</f>
        <v>51643</v>
      </c>
    </row>
    <row r="217" spans="1:7">
      <c r="A217" s="48" t="s">
        <v>41</v>
      </c>
      <c r="B217" s="47" t="s">
        <v>39</v>
      </c>
      <c r="C217" s="6" t="s">
        <v>9</v>
      </c>
      <c r="D217" s="6"/>
      <c r="E217" s="49"/>
      <c r="F217" s="60">
        <f>SUBTOTAL(9,F218:F234)</f>
        <v>13494</v>
      </c>
      <c r="G217" s="60">
        <f>SUBTOTAL(9,G218:G234)</f>
        <v>4484</v>
      </c>
    </row>
    <row r="218" spans="1:7" ht="112.5">
      <c r="A218" s="108" t="s">
        <v>155</v>
      </c>
      <c r="B218" s="47" t="s">
        <v>39</v>
      </c>
      <c r="C218" s="6" t="s">
        <v>9</v>
      </c>
      <c r="D218" s="80" t="s">
        <v>113</v>
      </c>
      <c r="E218" s="49"/>
      <c r="F218" s="60">
        <f>SUBTOTAL(9,F219:F223)</f>
        <v>7991</v>
      </c>
      <c r="G218" s="60"/>
    </row>
    <row r="219" spans="1:7" s="10" customFormat="1" ht="56.25">
      <c r="A219" s="44" t="s">
        <v>73</v>
      </c>
      <c r="B219" s="47" t="s">
        <v>39</v>
      </c>
      <c r="C219" s="6" t="s">
        <v>9</v>
      </c>
      <c r="D219" s="80" t="s">
        <v>113</v>
      </c>
      <c r="E219" s="49" t="s">
        <v>70</v>
      </c>
      <c r="F219" s="61">
        <f>640+10-111+217</f>
        <v>756</v>
      </c>
      <c r="G219" s="45"/>
    </row>
    <row r="220" spans="1:7" s="10" customFormat="1" ht="37.5">
      <c r="A220" s="44" t="s">
        <v>76</v>
      </c>
      <c r="B220" s="47" t="s">
        <v>39</v>
      </c>
      <c r="C220" s="6" t="s">
        <v>9</v>
      </c>
      <c r="D220" s="80" t="s">
        <v>113</v>
      </c>
      <c r="E220" s="49" t="s">
        <v>75</v>
      </c>
      <c r="F220" s="61">
        <f>4345+880+28+829+103</f>
        <v>6185</v>
      </c>
      <c r="G220" s="45"/>
    </row>
    <row r="221" spans="1:7" s="10" customFormat="1" ht="56.25" hidden="1">
      <c r="A221" s="99" t="s">
        <v>92</v>
      </c>
      <c r="B221" s="47" t="s">
        <v>39</v>
      </c>
      <c r="C221" s="6" t="s">
        <v>9</v>
      </c>
      <c r="D221" s="80" t="s">
        <v>113</v>
      </c>
      <c r="E221" s="49" t="s">
        <v>93</v>
      </c>
      <c r="F221" s="61">
        <f>100-28-72</f>
        <v>0</v>
      </c>
      <c r="G221" s="45"/>
    </row>
    <row r="222" spans="1:7" s="10" customFormat="1" ht="37.5">
      <c r="A222" s="123" t="s">
        <v>145</v>
      </c>
      <c r="B222" s="47" t="s">
        <v>39</v>
      </c>
      <c r="C222" s="6" t="s">
        <v>9</v>
      </c>
      <c r="D222" s="80" t="s">
        <v>113</v>
      </c>
      <c r="E222" s="49" t="s">
        <v>144</v>
      </c>
      <c r="F222" s="61">
        <f>911+19</f>
        <v>930</v>
      </c>
      <c r="G222" s="45"/>
    </row>
    <row r="223" spans="1:7" s="10" customFormat="1">
      <c r="A223" s="123" t="s">
        <v>148</v>
      </c>
      <c r="B223" s="47" t="s">
        <v>39</v>
      </c>
      <c r="C223" s="6" t="s">
        <v>9</v>
      </c>
      <c r="D223" s="80" t="s">
        <v>113</v>
      </c>
      <c r="E223" s="49" t="s">
        <v>116</v>
      </c>
      <c r="F223" s="61">
        <f>130-10</f>
        <v>120</v>
      </c>
      <c r="G223" s="45"/>
    </row>
    <row r="224" spans="1:7" s="10" customFormat="1" ht="133.15" hidden="1" customHeight="1">
      <c r="A224" s="108" t="s">
        <v>156</v>
      </c>
      <c r="B224" s="47" t="s">
        <v>39</v>
      </c>
      <c r="C224" s="6" t="s">
        <v>9</v>
      </c>
      <c r="D224" s="80" t="s">
        <v>103</v>
      </c>
      <c r="E224" s="49"/>
      <c r="F224" s="60">
        <f>SUBTOTAL(9,F225)</f>
        <v>0</v>
      </c>
      <c r="G224" s="60">
        <f>SUBTOTAL(9,G225)</f>
        <v>0</v>
      </c>
    </row>
    <row r="225" spans="1:7" s="10" customFormat="1" ht="75" hidden="1">
      <c r="A225" s="123" t="s">
        <v>80</v>
      </c>
      <c r="B225" s="47" t="s">
        <v>39</v>
      </c>
      <c r="C225" s="6" t="s">
        <v>9</v>
      </c>
      <c r="D225" s="80" t="s">
        <v>103</v>
      </c>
      <c r="E225" s="49" t="s">
        <v>79</v>
      </c>
      <c r="F225" s="61"/>
      <c r="G225" s="45"/>
    </row>
    <row r="226" spans="1:7" s="10" customFormat="1" ht="93.75">
      <c r="A226" s="114" t="s">
        <v>127</v>
      </c>
      <c r="B226" s="47" t="s">
        <v>39</v>
      </c>
      <c r="C226" s="6" t="s">
        <v>9</v>
      </c>
      <c r="D226" s="80" t="s">
        <v>117</v>
      </c>
      <c r="E226" s="49"/>
      <c r="F226" s="60">
        <f>SUBTOTAL(9,F227)</f>
        <v>395</v>
      </c>
      <c r="G226" s="60"/>
    </row>
    <row r="227" spans="1:7" s="10" customFormat="1" ht="56.25">
      <c r="A227" s="99" t="s">
        <v>92</v>
      </c>
      <c r="B227" s="47" t="s">
        <v>39</v>
      </c>
      <c r="C227" s="6" t="s">
        <v>9</v>
      </c>
      <c r="D227" s="80" t="s">
        <v>117</v>
      </c>
      <c r="E227" s="49" t="s">
        <v>93</v>
      </c>
      <c r="F227" s="61">
        <f>468+90-108-55</f>
        <v>395</v>
      </c>
      <c r="G227" s="45"/>
    </row>
    <row r="228" spans="1:7" s="10" customFormat="1" ht="93.75">
      <c r="A228" s="107" t="s">
        <v>135</v>
      </c>
      <c r="B228" s="47" t="s">
        <v>39</v>
      </c>
      <c r="C228" s="6" t="s">
        <v>9</v>
      </c>
      <c r="D228" s="80" t="s">
        <v>107</v>
      </c>
      <c r="E228" s="49"/>
      <c r="F228" s="60">
        <f>SUBTOTAL(9,F229)</f>
        <v>374</v>
      </c>
      <c r="G228" s="60"/>
    </row>
    <row r="229" spans="1:7" s="10" customFormat="1" ht="56.25">
      <c r="A229" s="99" t="s">
        <v>92</v>
      </c>
      <c r="B229" s="47" t="s">
        <v>39</v>
      </c>
      <c r="C229" s="6" t="s">
        <v>9</v>
      </c>
      <c r="D229" s="80" t="s">
        <v>107</v>
      </c>
      <c r="E229" s="49" t="s">
        <v>93</v>
      </c>
      <c r="F229" s="61">
        <f>384+38-48</f>
        <v>374</v>
      </c>
      <c r="G229" s="45"/>
    </row>
    <row r="230" spans="1:7" s="10" customFormat="1" ht="112.5">
      <c r="A230" s="101" t="s">
        <v>152</v>
      </c>
      <c r="B230" s="47" t="s">
        <v>39</v>
      </c>
      <c r="C230" s="6" t="s">
        <v>9</v>
      </c>
      <c r="D230" s="80" t="s">
        <v>125</v>
      </c>
      <c r="E230" s="82"/>
      <c r="F230" s="60">
        <f>SUBTOTAL(9,F231)</f>
        <v>83</v>
      </c>
      <c r="G230" s="60"/>
    </row>
    <row r="231" spans="1:7" s="10" customFormat="1" ht="56.25">
      <c r="A231" s="99" t="s">
        <v>92</v>
      </c>
      <c r="B231" s="47" t="s">
        <v>39</v>
      </c>
      <c r="C231" s="6" t="s">
        <v>9</v>
      </c>
      <c r="D231" s="80" t="s">
        <v>125</v>
      </c>
      <c r="E231" s="82" t="s">
        <v>93</v>
      </c>
      <c r="F231" s="61">
        <f>150+150-217</f>
        <v>83</v>
      </c>
      <c r="G231" s="45"/>
    </row>
    <row r="232" spans="1:7" s="10" customFormat="1" ht="37.5">
      <c r="A232" s="44" t="s">
        <v>94</v>
      </c>
      <c r="B232" s="47" t="s">
        <v>39</v>
      </c>
      <c r="C232" s="6" t="s">
        <v>9</v>
      </c>
      <c r="D232" s="80" t="s">
        <v>96</v>
      </c>
      <c r="E232" s="82"/>
      <c r="F232" s="60">
        <f>SUBTOTAL(9,F233:F234)</f>
        <v>4651</v>
      </c>
      <c r="G232" s="60">
        <f>SUBTOTAL(9,G233:G234)</f>
        <v>4484</v>
      </c>
    </row>
    <row r="233" spans="1:7" s="10" customFormat="1" ht="56.25">
      <c r="A233" s="44" t="s">
        <v>73</v>
      </c>
      <c r="B233" s="47" t="s">
        <v>39</v>
      </c>
      <c r="C233" s="6" t="s">
        <v>9</v>
      </c>
      <c r="D233" s="80" t="s">
        <v>96</v>
      </c>
      <c r="E233" s="82" t="s">
        <v>70</v>
      </c>
      <c r="F233" s="61">
        <v>167</v>
      </c>
      <c r="G233" s="61"/>
    </row>
    <row r="234" spans="1:7" s="10" customFormat="1" ht="56.25">
      <c r="A234" s="99" t="s">
        <v>92</v>
      </c>
      <c r="B234" s="47" t="s">
        <v>39</v>
      </c>
      <c r="C234" s="6" t="s">
        <v>9</v>
      </c>
      <c r="D234" s="80" t="s">
        <v>96</v>
      </c>
      <c r="E234" s="82" t="s">
        <v>93</v>
      </c>
      <c r="F234" s="61">
        <f>1678+564+2242</f>
        <v>4484</v>
      </c>
      <c r="G234" s="61">
        <f>1678+564+2242</f>
        <v>4484</v>
      </c>
    </row>
    <row r="235" spans="1:7" s="10" customFormat="1">
      <c r="A235" s="44" t="s">
        <v>43</v>
      </c>
      <c r="B235" s="47" t="s">
        <v>39</v>
      </c>
      <c r="C235" s="6" t="s">
        <v>12</v>
      </c>
      <c r="D235" s="6"/>
      <c r="E235" s="49"/>
      <c r="F235" s="60">
        <f>SUBTOTAL(9,F236:F240)</f>
        <v>49253</v>
      </c>
      <c r="G235" s="60">
        <f>SUBTOTAL(9,G236:G240)</f>
        <v>42781</v>
      </c>
    </row>
    <row r="236" spans="1:7" s="10" customFormat="1" ht="75">
      <c r="A236" s="108" t="s">
        <v>173</v>
      </c>
      <c r="B236" s="47" t="s">
        <v>39</v>
      </c>
      <c r="C236" s="6" t="s">
        <v>12</v>
      </c>
      <c r="D236" s="80" t="s">
        <v>112</v>
      </c>
      <c r="E236" s="49"/>
      <c r="F236" s="60">
        <f>SUBTOTAL(9,F237)</f>
        <v>16356</v>
      </c>
      <c r="G236" s="60">
        <f>SUBTOTAL(9,G237)</f>
        <v>9891</v>
      </c>
    </row>
    <row r="237" spans="1:7" s="10" customFormat="1" ht="56.25">
      <c r="A237" s="99" t="s">
        <v>92</v>
      </c>
      <c r="B237" s="47" t="s">
        <v>39</v>
      </c>
      <c r="C237" s="6" t="s">
        <v>12</v>
      </c>
      <c r="D237" s="80" t="s">
        <v>112</v>
      </c>
      <c r="E237" s="49" t="s">
        <v>93</v>
      </c>
      <c r="F237" s="61">
        <f>14044+2312</f>
        <v>16356</v>
      </c>
      <c r="G237" s="45">
        <f>7579+2312</f>
        <v>9891</v>
      </c>
    </row>
    <row r="238" spans="1:7" s="10" customFormat="1" ht="37.5">
      <c r="A238" s="44" t="s">
        <v>94</v>
      </c>
      <c r="B238" s="47" t="s">
        <v>39</v>
      </c>
      <c r="C238" s="6" t="s">
        <v>12</v>
      </c>
      <c r="D238" s="80" t="s">
        <v>96</v>
      </c>
      <c r="E238" s="82"/>
      <c r="F238" s="60">
        <f>SUBTOTAL(9,F239:F240)</f>
        <v>32897</v>
      </c>
      <c r="G238" s="60">
        <f>SUBTOTAL(9,G239:G240)</f>
        <v>32890</v>
      </c>
    </row>
    <row r="239" spans="1:7" s="10" customFormat="1" ht="56.25">
      <c r="A239" s="99" t="s">
        <v>92</v>
      </c>
      <c r="B239" s="47" t="s">
        <v>39</v>
      </c>
      <c r="C239" s="6" t="s">
        <v>12</v>
      </c>
      <c r="D239" s="80" t="s">
        <v>96</v>
      </c>
      <c r="E239" s="82" t="s">
        <v>93</v>
      </c>
      <c r="F239" s="61">
        <f>3871+100</f>
        <v>3971</v>
      </c>
      <c r="G239" s="61">
        <f>3871+100</f>
        <v>3971</v>
      </c>
    </row>
    <row r="240" spans="1:7" s="10" customFormat="1">
      <c r="A240" s="99" t="s">
        <v>123</v>
      </c>
      <c r="B240" s="47" t="s">
        <v>39</v>
      </c>
      <c r="C240" s="6" t="s">
        <v>12</v>
      </c>
      <c r="D240" s="80" t="s">
        <v>96</v>
      </c>
      <c r="E240" s="82" t="s">
        <v>87</v>
      </c>
      <c r="F240" s="61">
        <f>26901+5-224+2242+2</f>
        <v>28926</v>
      </c>
      <c r="G240" s="45">
        <f>26901-224+2242</f>
        <v>28919</v>
      </c>
    </row>
    <row r="241" spans="1:7" s="10" customFormat="1" ht="37.5">
      <c r="A241" s="48" t="s">
        <v>48</v>
      </c>
      <c r="B241" s="47" t="s">
        <v>39</v>
      </c>
      <c r="C241" s="6" t="s">
        <v>31</v>
      </c>
      <c r="D241" s="6"/>
      <c r="E241" s="49"/>
      <c r="F241" s="60">
        <f>SUBTOTAL(9,F242:F247)</f>
        <v>7856</v>
      </c>
      <c r="G241" s="60">
        <f>SUBTOTAL(9,G242:G247)</f>
        <v>4378</v>
      </c>
    </row>
    <row r="242" spans="1:7" s="10" customFormat="1" ht="115.15" customHeight="1">
      <c r="A242" s="108" t="s">
        <v>155</v>
      </c>
      <c r="B242" s="47" t="s">
        <v>39</v>
      </c>
      <c r="C242" s="6" t="s">
        <v>31</v>
      </c>
      <c r="D242" s="80" t="s">
        <v>113</v>
      </c>
      <c r="E242" s="49"/>
      <c r="F242" s="60">
        <f>SUBTOTAL(9,F243:F244)</f>
        <v>3478</v>
      </c>
      <c r="G242" s="60"/>
    </row>
    <row r="243" spans="1:7" s="10" customFormat="1" ht="37.5">
      <c r="A243" s="48" t="s">
        <v>85</v>
      </c>
      <c r="B243" s="47" t="s">
        <v>39</v>
      </c>
      <c r="C243" s="6" t="s">
        <v>31</v>
      </c>
      <c r="D243" s="80" t="s">
        <v>113</v>
      </c>
      <c r="E243" s="49" t="s">
        <v>77</v>
      </c>
      <c r="F243" s="61">
        <f>3167+111</f>
        <v>3278</v>
      </c>
      <c r="G243" s="61"/>
    </row>
    <row r="244" spans="1:7" s="10" customFormat="1" ht="56.25">
      <c r="A244" s="99" t="s">
        <v>73</v>
      </c>
      <c r="B244" s="47" t="s">
        <v>39</v>
      </c>
      <c r="C244" s="6" t="s">
        <v>31</v>
      </c>
      <c r="D244" s="80" t="s">
        <v>113</v>
      </c>
      <c r="E244" s="49" t="s">
        <v>70</v>
      </c>
      <c r="F244" s="61">
        <v>200</v>
      </c>
      <c r="G244" s="61"/>
    </row>
    <row r="245" spans="1:7" s="10" customFormat="1" ht="37.5">
      <c r="A245" s="44" t="s">
        <v>94</v>
      </c>
      <c r="B245" s="47" t="s">
        <v>39</v>
      </c>
      <c r="C245" s="6" t="s">
        <v>31</v>
      </c>
      <c r="D245" s="80" t="s">
        <v>96</v>
      </c>
      <c r="E245" s="82"/>
      <c r="F245" s="60">
        <f>SUBTOTAL(9,F246:F247)</f>
        <v>4378</v>
      </c>
      <c r="G245" s="57">
        <f>SUBTOTAL(9,G246:G247)</f>
        <v>4378</v>
      </c>
    </row>
    <row r="246" spans="1:7" s="10" customFormat="1" ht="37.5">
      <c r="A246" s="48" t="s">
        <v>85</v>
      </c>
      <c r="B246" s="47" t="s">
        <v>39</v>
      </c>
      <c r="C246" s="6" t="s">
        <v>31</v>
      </c>
      <c r="D246" s="80" t="s">
        <v>96</v>
      </c>
      <c r="E246" s="82" t="s">
        <v>77</v>
      </c>
      <c r="F246" s="61">
        <f>3855+122-145</f>
        <v>3832</v>
      </c>
      <c r="G246" s="61">
        <f>3855+122-145</f>
        <v>3832</v>
      </c>
    </row>
    <row r="247" spans="1:7" s="10" customFormat="1" ht="56.25">
      <c r="A247" s="44" t="s">
        <v>73</v>
      </c>
      <c r="B247" s="119" t="s">
        <v>39</v>
      </c>
      <c r="C247" s="120" t="s">
        <v>31</v>
      </c>
      <c r="D247" s="121" t="s">
        <v>96</v>
      </c>
      <c r="E247" s="82" t="s">
        <v>70</v>
      </c>
      <c r="F247" s="61">
        <f>321+145+80</f>
        <v>546</v>
      </c>
      <c r="G247" s="61">
        <f>321+145+80</f>
        <v>546</v>
      </c>
    </row>
    <row r="248" spans="1:7">
      <c r="A248" s="74" t="s">
        <v>45</v>
      </c>
      <c r="B248" s="75" t="s">
        <v>18</v>
      </c>
      <c r="C248" s="76"/>
      <c r="D248" s="76"/>
      <c r="E248" s="77"/>
      <c r="F248" s="78">
        <f>SUBTOTAL(9,F249:F261)</f>
        <v>22778</v>
      </c>
      <c r="G248" s="78"/>
    </row>
    <row r="249" spans="1:7">
      <c r="A249" s="65" t="s">
        <v>61</v>
      </c>
      <c r="B249" s="66" t="s">
        <v>18</v>
      </c>
      <c r="C249" s="46" t="s">
        <v>7</v>
      </c>
      <c r="D249" s="46"/>
      <c r="E249" s="71"/>
      <c r="F249" s="69">
        <f>SUBTOTAL(9,F250:F261)</f>
        <v>22778</v>
      </c>
      <c r="G249" s="69"/>
    </row>
    <row r="250" spans="1:7" ht="93.75">
      <c r="A250" s="99" t="s">
        <v>154</v>
      </c>
      <c r="B250" s="6" t="s">
        <v>18</v>
      </c>
      <c r="C250" s="81" t="s">
        <v>7</v>
      </c>
      <c r="D250" s="80" t="s">
        <v>101</v>
      </c>
      <c r="E250" s="82"/>
      <c r="F250" s="57">
        <f>SUBTOTAL(9,F251:F251)</f>
        <v>30</v>
      </c>
      <c r="G250" s="60"/>
    </row>
    <row r="251" spans="1:7">
      <c r="A251" s="99" t="s">
        <v>89</v>
      </c>
      <c r="B251" s="6" t="s">
        <v>18</v>
      </c>
      <c r="C251" s="81" t="s">
        <v>7</v>
      </c>
      <c r="D251" s="80" t="s">
        <v>101</v>
      </c>
      <c r="E251" s="82" t="s">
        <v>16</v>
      </c>
      <c r="F251" s="63">
        <v>30</v>
      </c>
      <c r="G251" s="63"/>
    </row>
    <row r="252" spans="1:7" ht="78.599999999999994" customHeight="1">
      <c r="A252" s="137" t="s">
        <v>157</v>
      </c>
      <c r="B252" s="47" t="s">
        <v>18</v>
      </c>
      <c r="C252" s="6" t="s">
        <v>7</v>
      </c>
      <c r="D252" s="80" t="s">
        <v>143</v>
      </c>
      <c r="E252" s="49"/>
      <c r="F252" s="60">
        <f>SUBTOTAL(9,F253:F254)</f>
        <v>232</v>
      </c>
      <c r="G252" s="60"/>
    </row>
    <row r="253" spans="1:7" ht="56.25">
      <c r="A253" s="65" t="s">
        <v>73</v>
      </c>
      <c r="B253" s="47" t="s">
        <v>18</v>
      </c>
      <c r="C253" s="6" t="s">
        <v>7</v>
      </c>
      <c r="D253" s="80" t="s">
        <v>143</v>
      </c>
      <c r="E253" s="49" t="s">
        <v>70</v>
      </c>
      <c r="F253" s="61">
        <v>50</v>
      </c>
      <c r="G253" s="61"/>
    </row>
    <row r="254" spans="1:7">
      <c r="A254" s="48" t="s">
        <v>89</v>
      </c>
      <c r="B254" s="47" t="s">
        <v>18</v>
      </c>
      <c r="C254" s="6" t="s">
        <v>7</v>
      </c>
      <c r="D254" s="80" t="s">
        <v>143</v>
      </c>
      <c r="E254" s="49" t="s">
        <v>16</v>
      </c>
      <c r="F254" s="61">
        <f>200-18</f>
        <v>182</v>
      </c>
      <c r="G254" s="61"/>
    </row>
    <row r="255" spans="1:7" ht="75" customHeight="1">
      <c r="A255" s="138" t="s">
        <v>158</v>
      </c>
      <c r="B255" s="47" t="s">
        <v>18</v>
      </c>
      <c r="C255" s="6" t="s">
        <v>7</v>
      </c>
      <c r="D255" s="80" t="s">
        <v>114</v>
      </c>
      <c r="E255" s="49"/>
      <c r="F255" s="60">
        <f>SUBTOTAL(9,F256:F259)</f>
        <v>22496</v>
      </c>
      <c r="G255" s="60"/>
    </row>
    <row r="256" spans="1:7" ht="57.6" customHeight="1">
      <c r="A256" s="65" t="s">
        <v>73</v>
      </c>
      <c r="B256" s="47" t="s">
        <v>18</v>
      </c>
      <c r="C256" s="6" t="s">
        <v>7</v>
      </c>
      <c r="D256" s="80" t="s">
        <v>114</v>
      </c>
      <c r="E256" s="49" t="s">
        <v>70</v>
      </c>
      <c r="F256" s="61">
        <f>631+300-631</f>
        <v>300</v>
      </c>
      <c r="G256" s="61"/>
    </row>
    <row r="257" spans="1:10">
      <c r="A257" s="136" t="s">
        <v>148</v>
      </c>
      <c r="B257" s="47" t="s">
        <v>18</v>
      </c>
      <c r="C257" s="6" t="s">
        <v>7</v>
      </c>
      <c r="D257" s="80" t="s">
        <v>114</v>
      </c>
      <c r="E257" s="49" t="s">
        <v>116</v>
      </c>
      <c r="F257" s="61">
        <f>50-50</f>
        <v>0</v>
      </c>
      <c r="G257" s="61"/>
    </row>
    <row r="258" spans="1:10">
      <c r="A258" s="136" t="s">
        <v>123</v>
      </c>
      <c r="B258" s="47" t="s">
        <v>18</v>
      </c>
      <c r="C258" s="6" t="s">
        <v>7</v>
      </c>
      <c r="D258" s="80" t="s">
        <v>114</v>
      </c>
      <c r="E258" s="49" t="s">
        <v>87</v>
      </c>
      <c r="F258" s="61">
        <f>2029-300</f>
        <v>1729</v>
      </c>
      <c r="G258" s="61"/>
    </row>
    <row r="259" spans="1:10">
      <c r="A259" s="48" t="s">
        <v>89</v>
      </c>
      <c r="B259" s="47" t="s">
        <v>18</v>
      </c>
      <c r="C259" s="6" t="s">
        <v>7</v>
      </c>
      <c r="D259" s="80" t="s">
        <v>114</v>
      </c>
      <c r="E259" s="49" t="s">
        <v>16</v>
      </c>
      <c r="F259" s="61">
        <f>20417+50</f>
        <v>20467</v>
      </c>
      <c r="G259" s="61"/>
    </row>
    <row r="260" spans="1:10" ht="56.25">
      <c r="A260" s="107" t="s">
        <v>150</v>
      </c>
      <c r="B260" s="83" t="s">
        <v>18</v>
      </c>
      <c r="C260" s="81" t="s">
        <v>7</v>
      </c>
      <c r="D260" s="80" t="s">
        <v>109</v>
      </c>
      <c r="E260" s="82"/>
      <c r="F260" s="57">
        <f>SUBTOTAL(9,F261:F261)</f>
        <v>20</v>
      </c>
      <c r="G260" s="60"/>
      <c r="J260" s="87"/>
    </row>
    <row r="261" spans="1:10">
      <c r="A261" s="72" t="s">
        <v>89</v>
      </c>
      <c r="B261" s="52" t="s">
        <v>18</v>
      </c>
      <c r="C261" s="98" t="s">
        <v>7</v>
      </c>
      <c r="D261" s="124" t="s">
        <v>109</v>
      </c>
      <c r="E261" s="54" t="s">
        <v>16</v>
      </c>
      <c r="F261" s="63">
        <v>20</v>
      </c>
      <c r="G261" s="63"/>
    </row>
    <row r="262" spans="1:10">
      <c r="A262" s="129" t="s">
        <v>136</v>
      </c>
      <c r="B262" s="130" t="s">
        <v>13</v>
      </c>
      <c r="C262" s="131"/>
      <c r="D262" s="76"/>
      <c r="E262" s="132"/>
      <c r="F262" s="78">
        <f>SUBTOTAL(9,F263:F267)</f>
        <v>4933</v>
      </c>
      <c r="G262" s="79"/>
    </row>
    <row r="263" spans="1:10">
      <c r="A263" s="125" t="s">
        <v>137</v>
      </c>
      <c r="B263" s="126" t="s">
        <v>13</v>
      </c>
      <c r="C263" s="127" t="s">
        <v>8</v>
      </c>
      <c r="D263" s="46"/>
      <c r="E263" s="128"/>
      <c r="F263" s="69">
        <f>SUBTOTAL(9,F264:F267)</f>
        <v>4933</v>
      </c>
      <c r="G263" s="70"/>
    </row>
    <row r="264" spans="1:10" ht="75">
      <c r="A264" s="113" t="s">
        <v>161</v>
      </c>
      <c r="B264" s="6" t="s">
        <v>13</v>
      </c>
      <c r="C264" s="81" t="s">
        <v>8</v>
      </c>
      <c r="D264" s="80" t="s">
        <v>98</v>
      </c>
      <c r="E264" s="82"/>
      <c r="F264" s="60">
        <f>SUBTOTAL(9,F265:F265)</f>
        <v>4922</v>
      </c>
      <c r="G264" s="57"/>
    </row>
    <row r="265" spans="1:10">
      <c r="A265" s="100" t="s">
        <v>89</v>
      </c>
      <c r="B265" s="52" t="s">
        <v>13</v>
      </c>
      <c r="C265" s="98" t="s">
        <v>8</v>
      </c>
      <c r="D265" s="124" t="s">
        <v>98</v>
      </c>
      <c r="E265" s="115" t="s">
        <v>16</v>
      </c>
      <c r="F265" s="63">
        <v>4922</v>
      </c>
      <c r="G265" s="133"/>
    </row>
    <row r="266" spans="1:10" ht="75">
      <c r="A266" s="100" t="s">
        <v>149</v>
      </c>
      <c r="B266" s="6" t="s">
        <v>13</v>
      </c>
      <c r="C266" s="81" t="s">
        <v>8</v>
      </c>
      <c r="D266" s="80" t="s">
        <v>132</v>
      </c>
      <c r="E266" s="82"/>
      <c r="F266" s="60">
        <f>SUBTOTAL(9,F267:F267)</f>
        <v>11</v>
      </c>
      <c r="G266" s="57"/>
    </row>
    <row r="267" spans="1:10">
      <c r="A267" s="100" t="s">
        <v>89</v>
      </c>
      <c r="B267" s="52" t="s">
        <v>13</v>
      </c>
      <c r="C267" s="98" t="s">
        <v>8</v>
      </c>
      <c r="D267" s="80" t="s">
        <v>132</v>
      </c>
      <c r="E267" s="115" t="s">
        <v>16</v>
      </c>
      <c r="F267" s="63">
        <v>11</v>
      </c>
      <c r="G267" s="133"/>
    </row>
    <row r="268" spans="1:10" ht="37.5">
      <c r="A268" s="74" t="s">
        <v>19</v>
      </c>
      <c r="B268" s="75" t="s">
        <v>59</v>
      </c>
      <c r="C268" s="76"/>
      <c r="D268" s="76"/>
      <c r="E268" s="132"/>
      <c r="F268" s="78">
        <f>SUBTOTAL(9,F269:F271)</f>
        <v>1607</v>
      </c>
      <c r="G268" s="79"/>
    </row>
    <row r="269" spans="1:10" ht="37.5">
      <c r="A269" s="65" t="s">
        <v>60</v>
      </c>
      <c r="B269" s="66" t="s">
        <v>59</v>
      </c>
      <c r="C269" s="46" t="s">
        <v>7</v>
      </c>
      <c r="D269" s="46"/>
      <c r="E269" s="128"/>
      <c r="F269" s="69">
        <f>SUBTOTAL(9,F270:F271)</f>
        <v>1607</v>
      </c>
      <c r="G269" s="70"/>
    </row>
    <row r="270" spans="1:10" ht="37.5">
      <c r="A270" s="85" t="s">
        <v>94</v>
      </c>
      <c r="B270" s="47" t="s">
        <v>59</v>
      </c>
      <c r="C270" s="6" t="s">
        <v>7</v>
      </c>
      <c r="D270" s="80" t="s">
        <v>96</v>
      </c>
      <c r="E270" s="82"/>
      <c r="F270" s="60">
        <f>SUBTOTAL(9,F271:F271)</f>
        <v>1607</v>
      </c>
      <c r="G270" s="57"/>
    </row>
    <row r="271" spans="1:10">
      <c r="A271" s="44" t="s">
        <v>84</v>
      </c>
      <c r="B271" s="47" t="s">
        <v>59</v>
      </c>
      <c r="C271" s="6" t="s">
        <v>7</v>
      </c>
      <c r="D271" s="80" t="s">
        <v>96</v>
      </c>
      <c r="E271" s="104" t="s">
        <v>83</v>
      </c>
      <c r="F271" s="63">
        <f>1145+162+300</f>
        <v>1607</v>
      </c>
      <c r="G271" s="45"/>
    </row>
    <row r="272" spans="1:10" s="3" customFormat="1" ht="19.5">
      <c r="A272" s="55" t="s">
        <v>46</v>
      </c>
      <c r="B272" s="106"/>
      <c r="C272" s="103"/>
      <c r="D272" s="56"/>
      <c r="E272" s="105"/>
      <c r="F272" s="64">
        <f>SUBTOTAL(9,F9:F271)</f>
        <v>2522827</v>
      </c>
      <c r="G272" s="59">
        <f>SUBTOTAL(9,G9:G271)</f>
        <v>1599060</v>
      </c>
    </row>
    <row r="273" spans="1:7">
      <c r="A273" s="32" t="s">
        <v>169</v>
      </c>
      <c r="B273" s="33"/>
      <c r="C273" s="33"/>
      <c r="D273" s="33"/>
      <c r="E273" s="33"/>
      <c r="F273" s="34"/>
      <c r="G273" s="35"/>
    </row>
    <row r="274" spans="1:7" ht="59.25" customHeight="1">
      <c r="A274" s="26"/>
      <c r="B274" s="27"/>
      <c r="C274" s="27"/>
      <c r="D274" s="27"/>
      <c r="E274" s="27"/>
      <c r="F274" s="28"/>
      <c r="G274" s="28"/>
    </row>
    <row r="275" spans="1:7" s="10" customFormat="1">
      <c r="A275" s="14" t="s">
        <v>54</v>
      </c>
      <c r="B275" s="18"/>
      <c r="C275" s="18"/>
      <c r="D275" s="18"/>
      <c r="E275" s="18"/>
      <c r="F275" s="19"/>
      <c r="G275" s="19"/>
    </row>
    <row r="276" spans="1:7" s="11" customFormat="1" ht="19.5">
      <c r="A276" s="17" t="s">
        <v>50</v>
      </c>
      <c r="B276" s="20"/>
      <c r="C276" s="20"/>
      <c r="D276" s="21"/>
      <c r="E276" s="20"/>
      <c r="F276" s="16">
        <f>SUMIFS(F$9:F$271,$C$9:$C$271,"",$B$9:$B$271,"??")</f>
        <v>2522827</v>
      </c>
      <c r="G276" s="16">
        <f>SUMIFS(G$9:G$271,$C$9:$C$271,"",$B$9:$B$271,"??")</f>
        <v>1599060</v>
      </c>
    </row>
    <row r="277" spans="1:7">
      <c r="A277" s="17" t="s">
        <v>51</v>
      </c>
      <c r="B277" s="20"/>
      <c r="C277" s="20"/>
      <c r="D277" s="21"/>
      <c r="E277" s="20"/>
      <c r="F277" s="16">
        <f>SUMIFS(F$9:F$271,$D$9:$D$271,"",$C$9:$C$271,"??")</f>
        <v>2522827</v>
      </c>
      <c r="G277" s="16">
        <f>SUMIFS(G$9:G$271,$D$9:$D$271,"",$C$9:$C$271,"??")</f>
        <v>1599060</v>
      </c>
    </row>
    <row r="278" spans="1:7">
      <c r="A278" s="17" t="s">
        <v>52</v>
      </c>
      <c r="B278" s="20"/>
      <c r="C278" s="20"/>
      <c r="D278" s="21"/>
      <c r="E278" s="20"/>
      <c r="F278" s="16">
        <f>SUMIFS(F$9:F$271,$E$9:$E$271,"",$D$9:$D$271,"?????????????")</f>
        <v>2522827</v>
      </c>
      <c r="G278" s="16">
        <f>SUMIFS(G$9:G$271,$D$9:$D$271,"",$C$9:$C$271,"??")</f>
        <v>1599060</v>
      </c>
    </row>
    <row r="279" spans="1:7">
      <c r="A279" s="17" t="s">
        <v>55</v>
      </c>
      <c r="B279" s="20"/>
      <c r="C279" s="20"/>
      <c r="D279" s="21"/>
      <c r="E279" s="20"/>
      <c r="F279" s="16">
        <f>SUMIFS(F$9:F$271,$E$9:$E$271,"???")</f>
        <v>2522827</v>
      </c>
      <c r="G279" s="16">
        <f>SUMIFS(G$9:G$271,$E$9:$E$271,"???")</f>
        <v>1599060</v>
      </c>
    </row>
    <row r="280" spans="1:7">
      <c r="B280" s="22"/>
      <c r="C280" s="22"/>
      <c r="D280" s="22"/>
      <c r="E280" s="22"/>
      <c r="F280" s="23"/>
      <c r="G280" s="23"/>
    </row>
    <row r="281" spans="1:7">
      <c r="B281" s="22"/>
      <c r="C281" s="22"/>
      <c r="D281" s="22"/>
      <c r="E281" s="22"/>
      <c r="F281" s="23"/>
      <c r="G281" s="23"/>
    </row>
    <row r="282" spans="1:7" s="25" customFormat="1">
      <c r="A282" s="29"/>
      <c r="B282" s="30"/>
      <c r="C282" s="30"/>
      <c r="D282" s="30"/>
      <c r="E282" s="30"/>
      <c r="F282" s="31"/>
      <c r="G282" s="31"/>
    </row>
    <row r="283" spans="1:7" s="25" customFormat="1">
      <c r="A283" s="37" t="s">
        <v>57</v>
      </c>
      <c r="B283" s="38"/>
      <c r="C283" s="38"/>
      <c r="D283" s="38"/>
      <c r="E283" s="38"/>
      <c r="F283" s="39"/>
      <c r="G283" s="39"/>
    </row>
    <row r="284" spans="1:7" s="25" customFormat="1">
      <c r="A284" s="40" t="s">
        <v>7</v>
      </c>
      <c r="B284" s="21"/>
      <c r="C284" s="21"/>
      <c r="D284" s="21"/>
      <c r="E284" s="21"/>
      <c r="F284" s="41">
        <f t="shared" ref="F284:G295" si="0">SUMIFS(F$9:F$271,$B$9:$B$271,$A284,$E$9:$E$271,"???")</f>
        <v>191403</v>
      </c>
      <c r="G284" s="41">
        <f t="shared" si="0"/>
        <v>3495</v>
      </c>
    </row>
    <row r="285" spans="1:7" s="25" customFormat="1">
      <c r="A285" s="40" t="s">
        <v>8</v>
      </c>
      <c r="B285" s="21"/>
      <c r="C285" s="21"/>
      <c r="D285" s="21"/>
      <c r="E285" s="21"/>
      <c r="F285" s="41">
        <f t="shared" si="0"/>
        <v>353</v>
      </c>
      <c r="G285" s="41">
        <f t="shared" si="0"/>
        <v>0</v>
      </c>
    </row>
    <row r="286" spans="1:7" s="25" customFormat="1">
      <c r="A286" s="40" t="s">
        <v>9</v>
      </c>
      <c r="B286" s="21"/>
      <c r="C286" s="21"/>
      <c r="D286" s="21"/>
      <c r="E286" s="21"/>
      <c r="F286" s="41">
        <f t="shared" si="0"/>
        <v>5290</v>
      </c>
      <c r="G286" s="41">
        <f t="shared" si="0"/>
        <v>190</v>
      </c>
    </row>
    <row r="287" spans="1:7" s="25" customFormat="1">
      <c r="A287" s="40" t="s">
        <v>12</v>
      </c>
      <c r="B287" s="21"/>
      <c r="C287" s="21"/>
      <c r="D287" s="21"/>
      <c r="E287" s="21"/>
      <c r="F287" s="41">
        <f t="shared" si="0"/>
        <v>189984</v>
      </c>
      <c r="G287" s="41">
        <f t="shared" si="0"/>
        <v>115059</v>
      </c>
    </row>
    <row r="288" spans="1:7" s="25" customFormat="1">
      <c r="A288" s="40" t="s">
        <v>28</v>
      </c>
      <c r="B288" s="21"/>
      <c r="C288" s="21"/>
      <c r="D288" s="21"/>
      <c r="E288" s="21"/>
      <c r="F288" s="41">
        <f t="shared" si="0"/>
        <v>1684749</v>
      </c>
      <c r="G288" s="41">
        <f t="shared" si="0"/>
        <v>1386047</v>
      </c>
    </row>
    <row r="289" spans="1:7" s="25" customFormat="1">
      <c r="A289" s="40" t="s">
        <v>31</v>
      </c>
      <c r="B289" s="21"/>
      <c r="C289" s="21"/>
      <c r="D289" s="21"/>
      <c r="E289" s="21"/>
      <c r="F289" s="41">
        <f t="shared" si="0"/>
        <v>7128</v>
      </c>
      <c r="G289" s="41">
        <f t="shared" si="0"/>
        <v>1350</v>
      </c>
    </row>
    <row r="290" spans="1:7" s="25" customFormat="1">
      <c r="A290" s="40" t="s">
        <v>17</v>
      </c>
      <c r="B290" s="21"/>
      <c r="C290" s="21"/>
      <c r="D290" s="21"/>
      <c r="E290" s="21"/>
      <c r="F290" s="41">
        <f t="shared" si="0"/>
        <v>239006</v>
      </c>
      <c r="G290" s="41">
        <f t="shared" si="0"/>
        <v>39033</v>
      </c>
    </row>
    <row r="291" spans="1:7" s="25" customFormat="1">
      <c r="A291" s="40" t="s">
        <v>25</v>
      </c>
      <c r="B291" s="21"/>
      <c r="C291" s="21"/>
      <c r="D291" s="21"/>
      <c r="E291" s="21"/>
      <c r="F291" s="41">
        <f t="shared" si="0"/>
        <v>104993</v>
      </c>
      <c r="G291" s="41">
        <f t="shared" si="0"/>
        <v>2243</v>
      </c>
    </row>
    <row r="292" spans="1:7" s="25" customFormat="1">
      <c r="A292" s="40" t="s">
        <v>39</v>
      </c>
      <c r="B292" s="21"/>
      <c r="C292" s="21"/>
      <c r="D292" s="21"/>
      <c r="E292" s="21"/>
      <c r="F292" s="41">
        <f t="shared" si="0"/>
        <v>70603</v>
      </c>
      <c r="G292" s="41">
        <f t="shared" si="0"/>
        <v>51643</v>
      </c>
    </row>
    <row r="293" spans="1:7" s="25" customFormat="1">
      <c r="A293" s="40" t="s">
        <v>18</v>
      </c>
      <c r="B293" s="21"/>
      <c r="C293" s="21"/>
      <c r="D293" s="21"/>
      <c r="E293" s="21"/>
      <c r="F293" s="41">
        <f t="shared" si="0"/>
        <v>22778</v>
      </c>
      <c r="G293" s="41">
        <f t="shared" si="0"/>
        <v>0</v>
      </c>
    </row>
    <row r="294" spans="1:7" s="25" customFormat="1">
      <c r="A294" s="40" t="s">
        <v>13</v>
      </c>
      <c r="B294" s="21"/>
      <c r="C294" s="21"/>
      <c r="D294" s="21"/>
      <c r="E294" s="21"/>
      <c r="F294" s="41">
        <f t="shared" si="0"/>
        <v>4933</v>
      </c>
      <c r="G294" s="41">
        <f t="shared" si="0"/>
        <v>0</v>
      </c>
    </row>
    <row r="295" spans="1:7" s="25" customFormat="1">
      <c r="A295" s="40" t="s">
        <v>59</v>
      </c>
      <c r="B295" s="21"/>
      <c r="C295" s="21"/>
      <c r="D295" s="21"/>
      <c r="E295" s="21"/>
      <c r="F295" s="41">
        <f t="shared" si="0"/>
        <v>1607</v>
      </c>
      <c r="G295" s="41">
        <f t="shared" si="0"/>
        <v>0</v>
      </c>
    </row>
    <row r="296" spans="1:7" s="24" customFormat="1">
      <c r="A296" s="42" t="s">
        <v>56</v>
      </c>
      <c r="B296" s="38"/>
      <c r="C296" s="38"/>
      <c r="D296" s="43"/>
      <c r="E296" s="38"/>
      <c r="F296" s="39">
        <f>SUM(F284:F295)</f>
        <v>2522827</v>
      </c>
      <c r="G296" s="39">
        <f>SUM(G284:G295)</f>
        <v>1599060</v>
      </c>
    </row>
    <row r="298" spans="1:7">
      <c r="A298" s="88" t="s">
        <v>120</v>
      </c>
      <c r="B298" s="91"/>
      <c r="C298" s="91"/>
      <c r="D298" s="91"/>
      <c r="E298" s="91"/>
      <c r="F298" s="93"/>
      <c r="G298" s="93"/>
    </row>
    <row r="299" spans="1:7">
      <c r="A299" s="89" t="s">
        <v>77</v>
      </c>
      <c r="B299" s="92"/>
      <c r="C299" s="92"/>
      <c r="D299" s="92"/>
      <c r="E299" s="92"/>
      <c r="F299" s="94">
        <f t="shared" ref="F299:F314" si="1">SUMIFS(F$9:F$272,$E$9:$E$272,$A299,$E$9:$E$272,"???")</f>
        <v>65870</v>
      </c>
      <c r="G299" s="94">
        <f t="shared" ref="G299:G314" si="2">SUMIFS(G$9:G$393,$E$9:$E$393,$A299,$E$9:$E$393,"???")</f>
        <v>3867</v>
      </c>
    </row>
    <row r="300" spans="1:7">
      <c r="A300" s="89" t="s">
        <v>69</v>
      </c>
      <c r="B300" s="92"/>
      <c r="C300" s="92"/>
      <c r="D300" s="92"/>
      <c r="E300" s="92"/>
      <c r="F300" s="94">
        <f t="shared" si="1"/>
        <v>110026</v>
      </c>
      <c r="G300" s="94">
        <f t="shared" si="2"/>
        <v>3313</v>
      </c>
    </row>
    <row r="301" spans="1:7">
      <c r="A301" s="89" t="s">
        <v>70</v>
      </c>
      <c r="B301" s="92"/>
      <c r="C301" s="92"/>
      <c r="D301" s="92"/>
      <c r="E301" s="92"/>
      <c r="F301" s="94">
        <f t="shared" si="1"/>
        <v>629602</v>
      </c>
      <c r="G301" s="94">
        <f t="shared" si="2"/>
        <v>370062</v>
      </c>
    </row>
    <row r="302" spans="1:7">
      <c r="A302" s="89" t="s">
        <v>75</v>
      </c>
      <c r="B302" s="92"/>
      <c r="C302" s="92"/>
      <c r="D302" s="92"/>
      <c r="E302" s="92"/>
      <c r="F302" s="94">
        <f t="shared" si="1"/>
        <v>6185</v>
      </c>
      <c r="G302" s="94">
        <f t="shared" si="2"/>
        <v>0</v>
      </c>
    </row>
    <row r="303" spans="1:7">
      <c r="A303" s="89" t="s">
        <v>93</v>
      </c>
      <c r="B303" s="92"/>
      <c r="C303" s="92"/>
      <c r="D303" s="92"/>
      <c r="E303" s="92"/>
      <c r="F303" s="94">
        <f t="shared" si="1"/>
        <v>25666</v>
      </c>
      <c r="G303" s="94">
        <f t="shared" si="2"/>
        <v>18346</v>
      </c>
    </row>
    <row r="304" spans="1:7">
      <c r="A304" s="89" t="s">
        <v>144</v>
      </c>
      <c r="B304" s="92"/>
      <c r="C304" s="92"/>
      <c r="D304" s="92"/>
      <c r="E304" s="92"/>
      <c r="F304" s="94">
        <f t="shared" si="1"/>
        <v>930</v>
      </c>
      <c r="G304" s="94">
        <f t="shared" si="2"/>
        <v>0</v>
      </c>
    </row>
    <row r="305" spans="1:7">
      <c r="A305" s="89" t="s">
        <v>116</v>
      </c>
      <c r="B305" s="92"/>
      <c r="C305" s="92"/>
      <c r="D305" s="92"/>
      <c r="E305" s="92"/>
      <c r="F305" s="94">
        <f t="shared" si="1"/>
        <v>120</v>
      </c>
      <c r="G305" s="94">
        <f t="shared" si="2"/>
        <v>0</v>
      </c>
    </row>
    <row r="306" spans="1:7">
      <c r="A306" s="89" t="s">
        <v>87</v>
      </c>
      <c r="B306" s="92"/>
      <c r="C306" s="92"/>
      <c r="D306" s="92"/>
      <c r="E306" s="92"/>
      <c r="F306" s="94">
        <f t="shared" si="1"/>
        <v>1278098</v>
      </c>
      <c r="G306" s="94">
        <f t="shared" si="2"/>
        <v>1194776</v>
      </c>
    </row>
    <row r="307" spans="1:7">
      <c r="A307" s="89" t="s">
        <v>16</v>
      </c>
      <c r="B307" s="92"/>
      <c r="C307" s="92"/>
      <c r="D307" s="92"/>
      <c r="E307" s="92"/>
      <c r="F307" s="94">
        <f t="shared" si="1"/>
        <v>316757</v>
      </c>
      <c r="G307" s="94">
        <f t="shared" si="2"/>
        <v>2904</v>
      </c>
    </row>
    <row r="308" spans="1:7">
      <c r="A308" s="89" t="s">
        <v>90</v>
      </c>
      <c r="B308" s="92"/>
      <c r="C308" s="92"/>
      <c r="D308" s="92"/>
      <c r="E308" s="92"/>
      <c r="F308" s="94">
        <f t="shared" si="1"/>
        <v>56214</v>
      </c>
      <c r="G308" s="94">
        <f t="shared" si="2"/>
        <v>1891</v>
      </c>
    </row>
    <row r="309" spans="1:7">
      <c r="A309" s="89" t="s">
        <v>81</v>
      </c>
      <c r="B309" s="92"/>
      <c r="C309" s="92"/>
      <c r="D309" s="92"/>
      <c r="E309" s="92"/>
      <c r="F309" s="94">
        <f t="shared" si="1"/>
        <v>18371</v>
      </c>
      <c r="G309" s="94">
        <f t="shared" si="2"/>
        <v>3901</v>
      </c>
    </row>
    <row r="310" spans="1:7">
      <c r="A310" s="89" t="s">
        <v>83</v>
      </c>
      <c r="B310" s="92"/>
      <c r="C310" s="92"/>
      <c r="D310" s="92"/>
      <c r="E310" s="92"/>
      <c r="F310" s="94">
        <f t="shared" si="1"/>
        <v>1607</v>
      </c>
      <c r="G310" s="94">
        <f t="shared" si="2"/>
        <v>0</v>
      </c>
    </row>
    <row r="311" spans="1:7">
      <c r="A311" s="89" t="s">
        <v>79</v>
      </c>
      <c r="B311" s="92"/>
      <c r="C311" s="92"/>
      <c r="D311" s="92"/>
      <c r="E311" s="92"/>
      <c r="F311" s="94">
        <f t="shared" si="1"/>
        <v>6266</v>
      </c>
      <c r="G311" s="94">
        <f t="shared" si="2"/>
        <v>0</v>
      </c>
    </row>
    <row r="312" spans="1:7">
      <c r="A312" s="89" t="s">
        <v>118</v>
      </c>
      <c r="B312" s="92"/>
      <c r="C312" s="92"/>
      <c r="D312" s="92"/>
      <c r="E312" s="92"/>
      <c r="F312" s="94">
        <f t="shared" si="1"/>
        <v>2757</v>
      </c>
      <c r="G312" s="94">
        <f t="shared" si="2"/>
        <v>0</v>
      </c>
    </row>
    <row r="313" spans="1:7">
      <c r="A313" s="89" t="s">
        <v>71</v>
      </c>
      <c r="B313" s="92"/>
      <c r="C313" s="92"/>
      <c r="D313" s="92"/>
      <c r="E313" s="92"/>
      <c r="F313" s="94">
        <f t="shared" si="1"/>
        <v>2039</v>
      </c>
      <c r="G313" s="94">
        <f t="shared" si="2"/>
        <v>0</v>
      </c>
    </row>
    <row r="314" spans="1:7">
      <c r="A314" s="89" t="s">
        <v>68</v>
      </c>
      <c r="B314" s="92"/>
      <c r="C314" s="92"/>
      <c r="D314" s="92"/>
      <c r="E314" s="92"/>
      <c r="F314" s="94">
        <f t="shared" si="1"/>
        <v>2319</v>
      </c>
      <c r="G314" s="94">
        <f t="shared" si="2"/>
        <v>0</v>
      </c>
    </row>
    <row r="315" spans="1:7">
      <c r="A315" s="90" t="s">
        <v>56</v>
      </c>
      <c r="B315" s="91"/>
      <c r="C315" s="91"/>
      <c r="D315" s="95"/>
      <c r="E315" s="91"/>
      <c r="F315" s="93">
        <f>SUM(F299:F314)</f>
        <v>2522827</v>
      </c>
      <c r="G315" s="93">
        <f>SUM(G299:G314)</f>
        <v>1599060</v>
      </c>
    </row>
    <row r="317" spans="1:7">
      <c r="A317" s="88" t="s">
        <v>141</v>
      </c>
      <c r="B317" s="91"/>
      <c r="C317" s="91"/>
      <c r="D317" s="91"/>
      <c r="E317" s="91"/>
      <c r="F317" s="93"/>
      <c r="G317" s="93"/>
    </row>
    <row r="318" spans="1:7">
      <c r="A318" s="122" t="s">
        <v>101</v>
      </c>
      <c r="B318" s="92"/>
      <c r="C318" s="92"/>
      <c r="D318" s="92"/>
      <c r="E318" s="92"/>
      <c r="F318" s="94">
        <f t="shared" ref="F318:G346" si="3">SUMIFS(F$11:F$344,$D$11:$D$344,$A318,$E$11:$E$344,"???")</f>
        <v>4245</v>
      </c>
      <c r="G318" s="94">
        <f t="shared" si="3"/>
        <v>190</v>
      </c>
    </row>
    <row r="319" spans="1:7">
      <c r="A319" s="122" t="s">
        <v>112</v>
      </c>
      <c r="B319" s="92"/>
      <c r="C319" s="92"/>
      <c r="D319" s="92"/>
      <c r="E319" s="92"/>
      <c r="F319" s="94">
        <f t="shared" si="3"/>
        <v>16356</v>
      </c>
      <c r="G319" s="94">
        <f t="shared" si="3"/>
        <v>9891</v>
      </c>
    </row>
    <row r="320" spans="1:7">
      <c r="A320" s="122" t="s">
        <v>113</v>
      </c>
      <c r="B320" s="92"/>
      <c r="C320" s="92"/>
      <c r="D320" s="92"/>
      <c r="E320" s="92"/>
      <c r="F320" s="94">
        <f t="shared" si="3"/>
        <v>15025</v>
      </c>
      <c r="G320" s="94">
        <f t="shared" si="3"/>
        <v>3456</v>
      </c>
    </row>
    <row r="321" spans="1:7">
      <c r="A321" s="122" t="s">
        <v>142</v>
      </c>
      <c r="B321" s="92"/>
      <c r="C321" s="92"/>
      <c r="D321" s="92"/>
      <c r="E321" s="92"/>
      <c r="F321" s="94">
        <f t="shared" si="3"/>
        <v>0</v>
      </c>
      <c r="G321" s="94">
        <f t="shared" si="3"/>
        <v>0</v>
      </c>
    </row>
    <row r="322" spans="1:7">
      <c r="A322" s="122" t="s">
        <v>103</v>
      </c>
      <c r="B322" s="92"/>
      <c r="C322" s="92"/>
      <c r="D322" s="92"/>
      <c r="E322" s="92"/>
      <c r="F322" s="94">
        <f t="shared" si="3"/>
        <v>153616</v>
      </c>
      <c r="G322" s="94">
        <f t="shared" si="3"/>
        <v>112500</v>
      </c>
    </row>
    <row r="323" spans="1:7">
      <c r="A323" s="122" t="s">
        <v>143</v>
      </c>
      <c r="B323" s="92"/>
      <c r="C323" s="92"/>
      <c r="D323" s="92"/>
      <c r="E323" s="92"/>
      <c r="F323" s="94">
        <f t="shared" si="3"/>
        <v>267</v>
      </c>
      <c r="G323" s="94">
        <f t="shared" si="3"/>
        <v>0</v>
      </c>
    </row>
    <row r="324" spans="1:7">
      <c r="A324" s="122" t="s">
        <v>114</v>
      </c>
      <c r="B324" s="92"/>
      <c r="C324" s="92"/>
      <c r="D324" s="92"/>
      <c r="E324" s="92"/>
      <c r="F324" s="94">
        <f t="shared" si="3"/>
        <v>22496</v>
      </c>
      <c r="G324" s="94">
        <f t="shared" si="3"/>
        <v>0</v>
      </c>
    </row>
    <row r="325" spans="1:7">
      <c r="A325" s="122" t="s">
        <v>134</v>
      </c>
      <c r="B325" s="92"/>
      <c r="C325" s="92"/>
      <c r="D325" s="92"/>
      <c r="E325" s="92"/>
      <c r="F325" s="94">
        <f t="shared" si="3"/>
        <v>1501</v>
      </c>
      <c r="G325" s="94">
        <f t="shared" si="3"/>
        <v>0</v>
      </c>
    </row>
    <row r="326" spans="1:7">
      <c r="A326" s="122" t="s">
        <v>105</v>
      </c>
      <c r="B326" s="92"/>
      <c r="C326" s="92"/>
      <c r="D326" s="92"/>
      <c r="E326" s="92"/>
      <c r="F326" s="94">
        <f t="shared" si="3"/>
        <v>4054</v>
      </c>
      <c r="G326" s="94">
        <f t="shared" si="3"/>
        <v>0</v>
      </c>
    </row>
    <row r="327" spans="1:7">
      <c r="A327" s="122" t="s">
        <v>97</v>
      </c>
      <c r="B327" s="92"/>
      <c r="C327" s="92"/>
      <c r="D327" s="92"/>
      <c r="E327" s="92"/>
      <c r="F327" s="94">
        <f t="shared" si="3"/>
        <v>115210</v>
      </c>
      <c r="G327" s="94">
        <f t="shared" si="3"/>
        <v>2505</v>
      </c>
    </row>
    <row r="328" spans="1:7">
      <c r="A328" s="122" t="s">
        <v>106</v>
      </c>
      <c r="B328" s="92"/>
      <c r="C328" s="92"/>
      <c r="D328" s="92"/>
      <c r="E328" s="92"/>
      <c r="F328" s="94">
        <f t="shared" si="3"/>
        <v>2036</v>
      </c>
      <c r="G328" s="94">
        <f t="shared" si="3"/>
        <v>0</v>
      </c>
    </row>
    <row r="329" spans="1:7">
      <c r="A329" s="122" t="s">
        <v>117</v>
      </c>
      <c r="B329" s="92"/>
      <c r="C329" s="92"/>
      <c r="D329" s="92"/>
      <c r="E329" s="92"/>
      <c r="F329" s="94">
        <f t="shared" si="3"/>
        <v>395</v>
      </c>
      <c r="G329" s="94">
        <f t="shared" si="3"/>
        <v>0</v>
      </c>
    </row>
    <row r="330" spans="1:7">
      <c r="A330" s="122" t="s">
        <v>109</v>
      </c>
      <c r="B330" s="92"/>
      <c r="C330" s="92"/>
      <c r="D330" s="92"/>
      <c r="E330" s="92"/>
      <c r="F330" s="94">
        <f t="shared" si="3"/>
        <v>73</v>
      </c>
      <c r="G330" s="94">
        <f t="shared" si="3"/>
        <v>0</v>
      </c>
    </row>
    <row r="331" spans="1:7">
      <c r="A331" s="122" t="s">
        <v>107</v>
      </c>
      <c r="B331" s="92"/>
      <c r="C331" s="92"/>
      <c r="D331" s="92"/>
      <c r="E331" s="92"/>
      <c r="F331" s="94">
        <f t="shared" si="3"/>
        <v>69572</v>
      </c>
      <c r="G331" s="94">
        <f t="shared" si="3"/>
        <v>30664</v>
      </c>
    </row>
    <row r="332" spans="1:7">
      <c r="A332" s="122" t="s">
        <v>110</v>
      </c>
      <c r="B332" s="92"/>
      <c r="C332" s="92"/>
      <c r="D332" s="92"/>
      <c r="E332" s="92"/>
      <c r="F332" s="94">
        <f t="shared" si="3"/>
        <v>6551</v>
      </c>
      <c r="G332" s="94">
        <f t="shared" si="3"/>
        <v>1202</v>
      </c>
    </row>
    <row r="333" spans="1:7">
      <c r="A333" s="122" t="s">
        <v>126</v>
      </c>
      <c r="B333" s="92"/>
      <c r="C333" s="92"/>
      <c r="D333" s="92"/>
      <c r="E333" s="92"/>
      <c r="F333" s="94">
        <f t="shared" si="3"/>
        <v>119</v>
      </c>
      <c r="G333" s="94">
        <f t="shared" si="3"/>
        <v>0</v>
      </c>
    </row>
    <row r="334" spans="1:7">
      <c r="A334" s="122" t="s">
        <v>98</v>
      </c>
      <c r="B334" s="92"/>
      <c r="C334" s="92"/>
      <c r="D334" s="92"/>
      <c r="E334" s="92"/>
      <c r="F334" s="94">
        <f t="shared" si="3"/>
        <v>22867</v>
      </c>
      <c r="G334" s="94">
        <f t="shared" si="3"/>
        <v>0</v>
      </c>
    </row>
    <row r="335" spans="1:7">
      <c r="A335" s="122" t="s">
        <v>124</v>
      </c>
      <c r="B335" s="92"/>
      <c r="C335" s="92"/>
      <c r="D335" s="92"/>
      <c r="E335" s="92"/>
      <c r="F335" s="94">
        <f t="shared" si="3"/>
        <v>29515</v>
      </c>
      <c r="G335" s="94">
        <f t="shared" si="3"/>
        <v>25000</v>
      </c>
    </row>
    <row r="336" spans="1:7">
      <c r="A336" s="122" t="s">
        <v>104</v>
      </c>
      <c r="B336" s="92"/>
      <c r="C336" s="92"/>
      <c r="D336" s="92"/>
      <c r="E336" s="92"/>
      <c r="F336" s="94">
        <f t="shared" si="3"/>
        <v>24857</v>
      </c>
      <c r="G336" s="94">
        <f t="shared" si="3"/>
        <v>54</v>
      </c>
    </row>
    <row r="337" spans="1:7">
      <c r="A337" s="122" t="s">
        <v>99</v>
      </c>
      <c r="B337" s="92"/>
      <c r="C337" s="92"/>
      <c r="D337" s="92"/>
      <c r="E337" s="92"/>
      <c r="F337" s="94">
        <f t="shared" si="3"/>
        <v>605</v>
      </c>
      <c r="G337" s="94">
        <f t="shared" si="3"/>
        <v>0</v>
      </c>
    </row>
    <row r="338" spans="1:7">
      <c r="A338" s="122" t="s">
        <v>100</v>
      </c>
      <c r="B338" s="92"/>
      <c r="C338" s="92"/>
      <c r="D338" s="92"/>
      <c r="E338" s="92"/>
      <c r="F338" s="94">
        <f t="shared" si="3"/>
        <v>986</v>
      </c>
      <c r="G338" s="94">
        <f t="shared" si="3"/>
        <v>0</v>
      </c>
    </row>
    <row r="339" spans="1:7">
      <c r="A339" s="122" t="s">
        <v>108</v>
      </c>
      <c r="B339" s="92"/>
      <c r="C339" s="92"/>
      <c r="D339" s="92"/>
      <c r="E339" s="92"/>
      <c r="F339" s="94">
        <f t="shared" si="3"/>
        <v>145568</v>
      </c>
      <c r="G339" s="94">
        <f t="shared" si="3"/>
        <v>2243</v>
      </c>
    </row>
    <row r="340" spans="1:7">
      <c r="A340" s="122" t="s">
        <v>125</v>
      </c>
      <c r="B340" s="92"/>
      <c r="C340" s="92"/>
      <c r="D340" s="92"/>
      <c r="E340" s="92"/>
      <c r="F340" s="94">
        <f t="shared" si="3"/>
        <v>260</v>
      </c>
      <c r="G340" s="94">
        <f t="shared" si="3"/>
        <v>0</v>
      </c>
    </row>
    <row r="341" spans="1:7">
      <c r="A341" s="122" t="s">
        <v>132</v>
      </c>
      <c r="B341" s="92"/>
      <c r="C341" s="92"/>
      <c r="D341" s="92"/>
      <c r="E341" s="92"/>
      <c r="F341" s="94">
        <f t="shared" si="3"/>
        <v>36</v>
      </c>
      <c r="G341" s="94">
        <f t="shared" si="3"/>
        <v>0</v>
      </c>
    </row>
    <row r="342" spans="1:7">
      <c r="A342" s="122" t="s">
        <v>102</v>
      </c>
      <c r="B342" s="92"/>
      <c r="C342" s="92"/>
      <c r="D342" s="92"/>
      <c r="E342" s="92"/>
      <c r="F342" s="94">
        <f t="shared" si="3"/>
        <v>222955</v>
      </c>
      <c r="G342" s="94">
        <f t="shared" si="3"/>
        <v>9780</v>
      </c>
    </row>
    <row r="343" spans="1:7">
      <c r="A343" s="122" t="s">
        <v>111</v>
      </c>
      <c r="B343" s="92"/>
      <c r="C343" s="92"/>
      <c r="D343" s="92"/>
      <c r="E343" s="92"/>
      <c r="F343" s="94">
        <f t="shared" si="3"/>
        <v>100</v>
      </c>
      <c r="G343" s="94">
        <f t="shared" si="3"/>
        <v>0</v>
      </c>
    </row>
    <row r="344" spans="1:7">
      <c r="A344" s="122" t="s">
        <v>121</v>
      </c>
      <c r="B344" s="92"/>
      <c r="C344" s="92"/>
      <c r="D344" s="92"/>
      <c r="E344" s="92"/>
      <c r="F344" s="94">
        <f t="shared" si="3"/>
        <v>223058</v>
      </c>
      <c r="G344" s="94">
        <f t="shared" si="3"/>
        <v>209397</v>
      </c>
    </row>
    <row r="345" spans="1:7">
      <c r="A345" s="122" t="s">
        <v>128</v>
      </c>
      <c r="B345" s="92"/>
      <c r="C345" s="92"/>
      <c r="D345" s="92"/>
      <c r="E345" s="92"/>
      <c r="F345" s="94">
        <f t="shared" si="3"/>
        <v>1213078</v>
      </c>
      <c r="G345" s="94">
        <f t="shared" si="3"/>
        <v>1140857</v>
      </c>
    </row>
    <row r="346" spans="1:7">
      <c r="A346" s="122" t="s">
        <v>96</v>
      </c>
      <c r="B346" s="92"/>
      <c r="C346" s="92"/>
      <c r="D346" s="92"/>
      <c r="E346" s="92"/>
      <c r="F346" s="94">
        <f t="shared" si="3"/>
        <v>227426</v>
      </c>
      <c r="G346" s="94">
        <f t="shared" si="3"/>
        <v>51321</v>
      </c>
    </row>
    <row r="347" spans="1:7">
      <c r="A347" s="90" t="s">
        <v>56</v>
      </c>
      <c r="B347" s="91"/>
      <c r="C347" s="91"/>
      <c r="D347" s="91"/>
      <c r="E347" s="95"/>
      <c r="F347" s="93">
        <f>SUM(F318:F346)</f>
        <v>2522827</v>
      </c>
      <c r="G347" s="93">
        <f>SUM(G318:G346)</f>
        <v>1599060</v>
      </c>
    </row>
  </sheetData>
  <autoFilter ref="A8:G273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70:D271 D218:D234 D242:D247 D236:D240 D20:D27 D196:D206 D190:D193 D208:D215 D264:D267 A318:A346 D174:D188 D96:D102 D131:D132 D134:D137 D140:D151 D250:D261 D11:D12 D14:D18 D104:D108 D74:D76 D39:D40 D82:D93 D78:D80 D153:D172 D67:D71 D60:D61 D64:D65 D110:D116 D42:D57 D118:D128 D29:D37">
      <formula1>13</formula1>
    </dataValidation>
    <dataValidation type="textLength" operator="equal" allowBlank="1" showInputMessage="1" showErrorMessage="1" sqref="D274 D272 D268:D269 D262:D263 D235 D241 D207 D194:D195 D248:D249 D216:D217 D189 D152 D138:D139 D129:D130 D133 D109 D94:D95 D9:D10 D19 D28 D38 D41 D103 D72:D73 D77 D81 D58:D59 D62:D63 D66 D13 D173 D117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77" fitToHeight="0" orientation="portrait" r:id="rId1"/>
  <rowBreaks count="1" manualBreakCount="1">
    <brk id="2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2023-11-15T06:00:57Z</cp:lastPrinted>
  <dcterms:created xsi:type="dcterms:W3CDTF">2009-11-05T14:15:41Z</dcterms:created>
  <dcterms:modified xsi:type="dcterms:W3CDTF">2023-11-29T07:44:17Z</dcterms:modified>
</cp:coreProperties>
</file>